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19\08-CONCILIACION RMER+PDC AGOSTO\2. DTER_AGOSTO_2019\DTER OFICIAL\Archivos a Publicar en la WEB\Anexos\Insumos\"/>
    </mc:Choice>
  </mc:AlternateContent>
  <bookViews>
    <workbookView xWindow="0" yWindow="0" windowWidth="28800" windowHeight="11730" tabRatio="695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BD!$A$1:$D$546</definedName>
    <definedName name="_xlnm._FilterDatabase" localSheetId="1" hidden="1">'CALCULO CC AGENTES'!$H$3:$J$553</definedName>
  </definedNames>
  <calcPr calcId="162913"/>
</workbook>
</file>

<file path=xl/calcChain.xml><?xml version="1.0" encoding="utf-8"?>
<calcChain xmlns="http://schemas.openxmlformats.org/spreadsheetml/2006/main">
  <c r="G31" i="1" l="1"/>
  <c r="E48" i="1"/>
  <c r="E49" i="1"/>
  <c r="E50" i="1"/>
  <c r="E51" i="1"/>
  <c r="E52" i="1"/>
  <c r="E53" i="1"/>
  <c r="D54" i="1"/>
  <c r="E54" i="1" l="1"/>
  <c r="F49" i="1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A546" i="2"/>
  <c r="A547" i="2"/>
  <c r="A548" i="2" s="1"/>
  <c r="F518" i="2" l="1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F405" i="2"/>
  <c r="F406" i="2"/>
  <c r="F407" i="2"/>
  <c r="F408" i="2"/>
  <c r="C405" i="2"/>
  <c r="C406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45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F426" i="2" l="1"/>
  <c r="D25" i="1" l="1"/>
  <c r="AO25" i="1"/>
  <c r="E25" i="1" s="1"/>
  <c r="G25" i="1" s="1"/>
  <c r="F289" i="2" l="1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F274" i="2" l="1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43" i="2"/>
  <c r="C344" i="2"/>
  <c r="C3" i="2"/>
  <c r="F557" i="2" l="1"/>
  <c r="N5" i="1" s="1"/>
  <c r="F343" i="2"/>
  <c r="F561" i="2" s="1"/>
  <c r="R5" i="1" s="1"/>
  <c r="F344" i="2"/>
  <c r="F345" i="2"/>
  <c r="F346" i="2"/>
  <c r="F347" i="2"/>
  <c r="F348" i="2"/>
  <c r="F559" i="2"/>
  <c r="P5" i="1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88" i="2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J17" i="3"/>
  <c r="AO10" i="1"/>
  <c r="E10" i="1" s="1"/>
  <c r="G10" i="1" s="1"/>
  <c r="AO11" i="1"/>
  <c r="E11" i="1" s="1"/>
  <c r="G11" i="1" s="1"/>
  <c r="AO12" i="1"/>
  <c r="E12" i="1" s="1"/>
  <c r="G12" i="1" s="1"/>
  <c r="AO13" i="1"/>
  <c r="E13" i="1" s="1"/>
  <c r="G13" i="1" s="1"/>
  <c r="AO14" i="1"/>
  <c r="E14" i="1" s="1"/>
  <c r="G14" i="1" s="1"/>
  <c r="AO15" i="1"/>
  <c r="E15" i="1" s="1"/>
  <c r="G15" i="1" s="1"/>
  <c r="AO16" i="1"/>
  <c r="AV16" i="1" s="1"/>
  <c r="AW16" i="1" s="1"/>
  <c r="AX16" i="1" s="1"/>
  <c r="BC16" i="1" s="1"/>
  <c r="BD16" i="1" s="1"/>
  <c r="BE16" i="1" s="1"/>
  <c r="BF16" i="1" s="1"/>
  <c r="AO17" i="1"/>
  <c r="E17" i="1" s="1"/>
  <c r="G17" i="1" s="1"/>
  <c r="AO18" i="1"/>
  <c r="E18" i="1" s="1"/>
  <c r="G18" i="1" s="1"/>
  <c r="AO19" i="1"/>
  <c r="E19" i="1" s="1"/>
  <c r="G19" i="1" s="1"/>
  <c r="AO20" i="1"/>
  <c r="E20" i="1" s="1"/>
  <c r="G20" i="1" s="1"/>
  <c r="AO21" i="1"/>
  <c r="E21" i="1" s="1"/>
  <c r="G21" i="1" s="1"/>
  <c r="K10" i="1"/>
  <c r="K22" i="1" s="1"/>
  <c r="AO23" i="1"/>
  <c r="E23" i="1" s="1"/>
  <c r="G23" i="1" s="1"/>
  <c r="AO24" i="1"/>
  <c r="E24" i="1" s="1"/>
  <c r="G24" i="1" s="1"/>
  <c r="AO28" i="1"/>
  <c r="AV28" i="1" s="1"/>
  <c r="AW28" i="1" s="1"/>
  <c r="AX28" i="1" s="1"/>
  <c r="BC28" i="1" s="1"/>
  <c r="BD28" i="1" s="1"/>
  <c r="BE28" i="1" s="1"/>
  <c r="BF28" i="1" s="1"/>
  <c r="AO29" i="1"/>
  <c r="E29" i="1" s="1"/>
  <c r="G29" i="1" s="1"/>
  <c r="AO32" i="1"/>
  <c r="E32" i="1" s="1"/>
  <c r="G32" i="1" s="1"/>
  <c r="AO33" i="1"/>
  <c r="E33" i="1" s="1"/>
  <c r="G33" i="1" s="1"/>
  <c r="AO34" i="1"/>
  <c r="E34" i="1" s="1"/>
  <c r="G34" i="1" s="1"/>
  <c r="AO35" i="1"/>
  <c r="E35" i="1" s="1"/>
  <c r="G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O26" i="1"/>
  <c r="AV26" i="1" s="1"/>
  <c r="AW26" i="1" s="1"/>
  <c r="AX26" i="1" s="1"/>
  <c r="BC26" i="1" s="1"/>
  <c r="BD26" i="1" s="1"/>
  <c r="BE26" i="1" s="1"/>
  <c r="BF26" i="1" s="1"/>
  <c r="AO27" i="1"/>
  <c r="AV27" i="1" s="1"/>
  <c r="AO36" i="1"/>
  <c r="AV36" i="1" s="1"/>
  <c r="AW36" i="1" s="1"/>
  <c r="AX36" i="1" s="1"/>
  <c r="BC36" i="1" s="1"/>
  <c r="BD36" i="1" s="1"/>
  <c r="BE36" i="1" s="1"/>
  <c r="BF36" i="1" s="1"/>
  <c r="AV11" i="1"/>
  <c r="AW11" i="1" s="1"/>
  <c r="AX11" i="1" s="1"/>
  <c r="BC11" i="1" s="1"/>
  <c r="BD11" i="1" s="1"/>
  <c r="BE11" i="1" s="1"/>
  <c r="BF11" i="1" s="1"/>
  <c r="AO30" i="1"/>
  <c r="AV30" i="1" s="1"/>
  <c r="AO31" i="1"/>
  <c r="BG11" i="1"/>
  <c r="BG12" i="1"/>
  <c r="BG13" i="1"/>
  <c r="BG14" i="1"/>
  <c r="BG15" i="1"/>
  <c r="BG16" i="1"/>
  <c r="BG17" i="1"/>
  <c r="BG18" i="1"/>
  <c r="BG19" i="1"/>
  <c r="BG20" i="1"/>
  <c r="BG21" i="1"/>
  <c r="BG23" i="1"/>
  <c r="BG24" i="1"/>
  <c r="BG26" i="1"/>
  <c r="BG27" i="1"/>
  <c r="BG28" i="1"/>
  <c r="BG29" i="1"/>
  <c r="BG30" i="1"/>
  <c r="BG31" i="1"/>
  <c r="BG32" i="1"/>
  <c r="BG33" i="1"/>
  <c r="BG34" i="1"/>
  <c r="BG35" i="1"/>
  <c r="BG36" i="1"/>
  <c r="BG10" i="1"/>
  <c r="AR11" i="1"/>
  <c r="AR12" i="1"/>
  <c r="AR13" i="1"/>
  <c r="AR14" i="1"/>
  <c r="AR15" i="1"/>
  <c r="AR16" i="1"/>
  <c r="AR17" i="1"/>
  <c r="AR18" i="1"/>
  <c r="AR19" i="1"/>
  <c r="AR20" i="1"/>
  <c r="AR21" i="1"/>
  <c r="AR23" i="1"/>
  <c r="AR24" i="1"/>
  <c r="AR26" i="1"/>
  <c r="AR27" i="1"/>
  <c r="AR28" i="1"/>
  <c r="AR29" i="1"/>
  <c r="AR30" i="1"/>
  <c r="AR31" i="1"/>
  <c r="AR32" i="1"/>
  <c r="AR33" i="1"/>
  <c r="AR34" i="1"/>
  <c r="AR35" i="1"/>
  <c r="AR36" i="1"/>
  <c r="AR10" i="1"/>
  <c r="AX22" i="1"/>
  <c r="BF22" i="1" s="1"/>
  <c r="BA11" i="1"/>
  <c r="BA12" i="1"/>
  <c r="BA13" i="1"/>
  <c r="BA14" i="1"/>
  <c r="BA15" i="1"/>
  <c r="BA16" i="1"/>
  <c r="BA17" i="1"/>
  <c r="BA18" i="1"/>
  <c r="BA19" i="1"/>
  <c r="BA20" i="1"/>
  <c r="BA21" i="1"/>
  <c r="BA23" i="1"/>
  <c r="BA24" i="1"/>
  <c r="BA26" i="1"/>
  <c r="BA27" i="1"/>
  <c r="BA28" i="1"/>
  <c r="BA29" i="1"/>
  <c r="BA30" i="1"/>
  <c r="BA31" i="1"/>
  <c r="BA32" i="1"/>
  <c r="BA33" i="1"/>
  <c r="BA34" i="1"/>
  <c r="BA35" i="1"/>
  <c r="BA36" i="1"/>
  <c r="BA10" i="1"/>
  <c r="AZ39" i="1"/>
  <c r="AQ37" i="1"/>
  <c r="AQ39" i="1" s="1"/>
  <c r="AM22" i="1"/>
  <c r="AM37" i="1"/>
  <c r="AS23" i="1"/>
  <c r="AS24" i="1"/>
  <c r="AT24" i="1" s="1"/>
  <c r="AS26" i="1"/>
  <c r="AS27" i="1"/>
  <c r="AT27" i="1" s="1"/>
  <c r="AS28" i="1"/>
  <c r="AS29" i="1"/>
  <c r="AT29" i="1" s="1"/>
  <c r="AS30" i="1"/>
  <c r="AS31" i="1"/>
  <c r="AS32" i="1"/>
  <c r="AS33" i="1"/>
  <c r="AT33" i="1" s="1"/>
  <c r="AS34" i="1"/>
  <c r="AS35" i="1"/>
  <c r="AS36" i="1"/>
  <c r="AT36" i="1" s="1"/>
  <c r="AS11" i="1"/>
  <c r="AS12" i="1"/>
  <c r="AT12" i="1" s="1"/>
  <c r="AS13" i="1"/>
  <c r="AT13" i="1" s="1"/>
  <c r="AS14" i="1"/>
  <c r="AS15" i="1"/>
  <c r="AS16" i="1"/>
  <c r="AS17" i="1"/>
  <c r="AT17" i="1" s="1"/>
  <c r="AS18" i="1"/>
  <c r="AT18" i="1" s="1"/>
  <c r="AS19" i="1"/>
  <c r="AS20" i="1"/>
  <c r="AS21" i="1"/>
  <c r="AS10" i="1"/>
  <c r="AT10" i="1" s="1"/>
  <c r="F38" i="1"/>
  <c r="F22" i="1"/>
  <c r="I37" i="1"/>
  <c r="H37" i="1"/>
  <c r="S22" i="1"/>
  <c r="R22" i="1"/>
  <c r="Q22" i="1"/>
  <c r="P22" i="1"/>
  <c r="O22" i="1"/>
  <c r="N22" i="1"/>
  <c r="I22" i="1"/>
  <c r="D21" i="1"/>
  <c r="D20" i="1"/>
  <c r="D19" i="1"/>
  <c r="D18" i="1"/>
  <c r="D17" i="1"/>
  <c r="D16" i="1"/>
  <c r="D15" i="1"/>
  <c r="D14" i="1"/>
  <c r="D13" i="1"/>
  <c r="D12" i="1"/>
  <c r="D11" i="1"/>
  <c r="D10" i="1"/>
  <c r="J22" i="1"/>
  <c r="AT23" i="1" l="1"/>
  <c r="AT35" i="1"/>
  <c r="AT32" i="1"/>
  <c r="AT19" i="1"/>
  <c r="AT11" i="1"/>
  <c r="AT28" i="1"/>
  <c r="AV19" i="1"/>
  <c r="AW19" i="1" s="1"/>
  <c r="AX19" i="1" s="1"/>
  <c r="BC19" i="1" s="1"/>
  <c r="BD19" i="1" s="1"/>
  <c r="BE19" i="1" s="1"/>
  <c r="BF19" i="1" s="1"/>
  <c r="AT20" i="1"/>
  <c r="AT16" i="1"/>
  <c r="AT26" i="1"/>
  <c r="AV14" i="1"/>
  <c r="AW14" i="1" s="1"/>
  <c r="AX14" i="1" s="1"/>
  <c r="BC14" i="1" s="1"/>
  <c r="BD14" i="1" s="1"/>
  <c r="BE14" i="1" s="1"/>
  <c r="BF14" i="1" s="1"/>
  <c r="AT15" i="1"/>
  <c r="AT14" i="1"/>
  <c r="AT21" i="1"/>
  <c r="AT30" i="1"/>
  <c r="AV34" i="1"/>
  <c r="AW34" i="1" s="1"/>
  <c r="AX34" i="1" s="1"/>
  <c r="BC34" i="1" s="1"/>
  <c r="BD34" i="1" s="1"/>
  <c r="BE34" i="1" s="1"/>
  <c r="BF34" i="1" s="1"/>
  <c r="E16" i="1"/>
  <c r="G16" i="1" s="1"/>
  <c r="G22" i="1" s="1"/>
  <c r="AV24" i="1"/>
  <c r="AW24" i="1" s="1"/>
  <c r="AX24" i="1" s="1"/>
  <c r="BC24" i="1" s="1"/>
  <c r="BD24" i="1" s="1"/>
  <c r="BE24" i="1" s="1"/>
  <c r="BF24" i="1" s="1"/>
  <c r="E30" i="1"/>
  <c r="G30" i="1" s="1"/>
  <c r="E36" i="1"/>
  <c r="G36" i="1" s="1"/>
  <c r="F342" i="2"/>
  <c r="F562" i="2" s="1"/>
  <c r="S5" i="1" s="1"/>
  <c r="F382" i="2"/>
  <c r="F560" i="2" s="1"/>
  <c r="Q5" i="1" s="1"/>
  <c r="AT31" i="1"/>
  <c r="AT34" i="1"/>
  <c r="BA39" i="1"/>
  <c r="AV23" i="1"/>
  <c r="AW23" i="1" s="1"/>
  <c r="AX23" i="1" s="1"/>
  <c r="BC23" i="1" s="1"/>
  <c r="BD23" i="1" s="1"/>
  <c r="BE23" i="1" s="1"/>
  <c r="BF23" i="1" s="1"/>
  <c r="AV13" i="1"/>
  <c r="AW13" i="1" s="1"/>
  <c r="AX13" i="1" s="1"/>
  <c r="BC13" i="1" s="1"/>
  <c r="BD13" i="1" s="1"/>
  <c r="BE13" i="1" s="1"/>
  <c r="BF13" i="1" s="1"/>
  <c r="AM39" i="1"/>
  <c r="AS39" i="1" s="1"/>
  <c r="AV35" i="1"/>
  <c r="AW35" i="1" s="1"/>
  <c r="AX35" i="1" s="1"/>
  <c r="BC35" i="1" s="1"/>
  <c r="BD35" i="1" s="1"/>
  <c r="BE35" i="1" s="1"/>
  <c r="BF35" i="1" s="1"/>
  <c r="AV33" i="1"/>
  <c r="AW33" i="1" s="1"/>
  <c r="AX33" i="1" s="1"/>
  <c r="BC33" i="1" s="1"/>
  <c r="BD33" i="1" s="1"/>
  <c r="BE33" i="1" s="1"/>
  <c r="BF33" i="1" s="1"/>
  <c r="E28" i="1"/>
  <c r="G28" i="1" s="1"/>
  <c r="AV18" i="1"/>
  <c r="AW18" i="1" s="1"/>
  <c r="AX18" i="1" s="1"/>
  <c r="BC18" i="1" s="1"/>
  <c r="BD18" i="1" s="1"/>
  <c r="BE18" i="1" s="1"/>
  <c r="BF18" i="1" s="1"/>
  <c r="AV15" i="1"/>
  <c r="AW15" i="1" s="1"/>
  <c r="AX15" i="1" s="1"/>
  <c r="BC15" i="1" s="1"/>
  <c r="BD15" i="1" s="1"/>
  <c r="BE15" i="1" s="1"/>
  <c r="BF15" i="1" s="1"/>
  <c r="E26" i="1"/>
  <c r="G26" i="1" s="1"/>
  <c r="AV32" i="1"/>
  <c r="AW32" i="1" s="1"/>
  <c r="AX32" i="1" s="1"/>
  <c r="BC32" i="1" s="1"/>
  <c r="BD32" i="1" s="1"/>
  <c r="BE32" i="1" s="1"/>
  <c r="BF32" i="1" s="1"/>
  <c r="AV29" i="1"/>
  <c r="AW29" i="1" s="1"/>
  <c r="AX29" i="1" s="1"/>
  <c r="BC29" i="1" s="1"/>
  <c r="BD29" i="1" s="1"/>
  <c r="BE29" i="1" s="1"/>
  <c r="BF29" i="1" s="1"/>
  <c r="AV21" i="1"/>
  <c r="AW21" i="1" s="1"/>
  <c r="AX21" i="1" s="1"/>
  <c r="BC21" i="1" s="1"/>
  <c r="BD21" i="1" s="1"/>
  <c r="BE21" i="1" s="1"/>
  <c r="BF21" i="1" s="1"/>
  <c r="AV20" i="1"/>
  <c r="AW20" i="1" s="1"/>
  <c r="AX20" i="1" s="1"/>
  <c r="BC20" i="1" s="1"/>
  <c r="BD20" i="1" s="1"/>
  <c r="BE20" i="1" s="1"/>
  <c r="BF20" i="1" s="1"/>
  <c r="AV17" i="1"/>
  <c r="AW17" i="1" s="1"/>
  <c r="AX17" i="1" s="1"/>
  <c r="BC17" i="1" s="1"/>
  <c r="BD17" i="1" s="1"/>
  <c r="BE17" i="1" s="1"/>
  <c r="BF17" i="1" s="1"/>
  <c r="AV12" i="1"/>
  <c r="AW12" i="1" s="1"/>
  <c r="AX12" i="1" s="1"/>
  <c r="BC12" i="1" s="1"/>
  <c r="BD12" i="1" s="1"/>
  <c r="BE12" i="1" s="1"/>
  <c r="BF12" i="1" s="1"/>
  <c r="AV10" i="1"/>
  <c r="AW10" i="1" s="1"/>
  <c r="AX10" i="1" s="1"/>
  <c r="BC10" i="1" s="1"/>
  <c r="BD10" i="1" s="1"/>
  <c r="D37" i="1"/>
  <c r="J23" i="1" s="1"/>
  <c r="J37" i="1" s="1"/>
  <c r="AR39" i="1"/>
  <c r="BG39" i="1"/>
  <c r="D22" i="1"/>
  <c r="F8" i="3"/>
  <c r="F10" i="3"/>
  <c r="AW27" i="1"/>
  <c r="AX27" i="1" s="1"/>
  <c r="BC27" i="1" s="1"/>
  <c r="BD27" i="1" s="1"/>
  <c r="BE27" i="1" s="1"/>
  <c r="BF27" i="1" s="1"/>
  <c r="AW30" i="1"/>
  <c r="AX30" i="1" s="1"/>
  <c r="BC30" i="1" s="1"/>
  <c r="BD30" i="1" s="1"/>
  <c r="BE30" i="1" s="1"/>
  <c r="BF30" i="1" s="1"/>
  <c r="AO39" i="1"/>
  <c r="AV31" i="1"/>
  <c r="E27" i="1"/>
  <c r="G27" i="1" s="1"/>
  <c r="F558" i="2"/>
  <c r="O5" i="1" s="1"/>
  <c r="F7" i="3" s="1"/>
  <c r="F6" i="3"/>
  <c r="G37" i="1" l="1"/>
  <c r="G38" i="1"/>
  <c r="J16" i="3" s="1"/>
  <c r="F53" i="1"/>
  <c r="F51" i="1"/>
  <c r="F50" i="1"/>
  <c r="F48" i="1"/>
  <c r="F52" i="1"/>
  <c r="H48" i="1"/>
  <c r="F11" i="3"/>
  <c r="E22" i="1"/>
  <c r="M22" i="1"/>
  <c r="J18" i="3"/>
  <c r="K23" i="1"/>
  <c r="AS43" i="1"/>
  <c r="D38" i="1"/>
  <c r="BC43" i="1"/>
  <c r="AV39" i="1"/>
  <c r="F9" i="3"/>
  <c r="A343" i="2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E37" i="1"/>
  <c r="AW31" i="1"/>
  <c r="AX31" i="1" s="1"/>
  <c r="BC31" i="1" s="1"/>
  <c r="BD31" i="1" s="1"/>
  <c r="BE31" i="1" s="1"/>
  <c r="BF31" i="1" s="1"/>
  <c r="BE10" i="1"/>
  <c r="U5" i="1"/>
  <c r="O43" i="1" s="1"/>
  <c r="F563" i="2"/>
  <c r="E38" i="1" l="1"/>
  <c r="E39" i="1" s="1"/>
  <c r="F54" i="1"/>
  <c r="F12" i="3"/>
  <c r="A377" i="2"/>
  <c r="A378" i="2" s="1"/>
  <c r="A379" i="2" s="1"/>
  <c r="A380" i="2" s="1"/>
  <c r="A381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J19" i="3"/>
  <c r="J21" i="3" s="1"/>
  <c r="K37" i="1"/>
  <c r="AX39" i="1"/>
  <c r="BD39" i="1"/>
  <c r="BD43" i="1" s="1"/>
  <c r="BE43" i="1" s="1"/>
  <c r="C8" i="3"/>
  <c r="C9" i="3"/>
  <c r="C7" i="3"/>
  <c r="C12" i="3"/>
  <c r="C10" i="3"/>
  <c r="C11" i="3"/>
  <c r="C6" i="3"/>
  <c r="BF10" i="1"/>
  <c r="BF38" i="1" s="1"/>
  <c r="BF40" i="1" s="1"/>
  <c r="BE39" i="1"/>
  <c r="L36" i="1"/>
  <c r="M36" i="1" s="1"/>
  <c r="U36" i="1" s="1"/>
  <c r="E7" i="3"/>
  <c r="L23" i="1"/>
  <c r="M23" i="1" s="1"/>
  <c r="U23" i="1" s="1"/>
  <c r="S43" i="1"/>
  <c r="E11" i="3"/>
  <c r="E8" i="3"/>
  <c r="L32" i="1"/>
  <c r="M32" i="1" s="1"/>
  <c r="U32" i="1" s="1"/>
  <c r="E10" i="3"/>
  <c r="E6" i="3"/>
  <c r="L26" i="1"/>
  <c r="M26" i="1" s="1"/>
  <c r="U26" i="1" s="1"/>
  <c r="Q43" i="1"/>
  <c r="N43" i="1"/>
  <c r="E12" i="3"/>
  <c r="R43" i="1"/>
  <c r="P43" i="1"/>
  <c r="G7" i="3"/>
  <c r="L28" i="1"/>
  <c r="M28" i="1" s="1"/>
  <c r="U28" i="1" s="1"/>
  <c r="L30" i="1"/>
  <c r="M30" i="1" s="1"/>
  <c r="U30" i="1" s="1"/>
  <c r="E9" i="3"/>
  <c r="L34" i="1"/>
  <c r="G9" i="3" l="1"/>
  <c r="G8" i="3"/>
  <c r="G10" i="3"/>
  <c r="G6" i="3"/>
  <c r="G11" i="3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9" i="2" s="1"/>
  <c r="A550" i="2" s="1"/>
  <c r="A551" i="2" s="1"/>
  <c r="A552" i="2" s="1"/>
  <c r="R32" i="1"/>
  <c r="R37" i="1" s="1"/>
  <c r="S36" i="1"/>
  <c r="S37" i="1" s="1"/>
  <c r="N23" i="1"/>
  <c r="N37" i="1" s="1"/>
  <c r="N44" i="1" s="1"/>
  <c r="H6" i="3" s="1"/>
  <c r="Q30" i="1"/>
  <c r="Q37" i="1" s="1"/>
  <c r="Q44" i="1" s="1"/>
  <c r="O26" i="1"/>
  <c r="O37" i="1" s="1"/>
  <c r="P28" i="1"/>
  <c r="P37" i="1" s="1"/>
  <c r="P44" i="1" s="1"/>
  <c r="H8" i="3" s="1"/>
  <c r="G12" i="3"/>
  <c r="L37" i="1"/>
  <c r="N45" i="1" l="1"/>
  <c r="P45" i="1"/>
  <c r="Q45" i="1"/>
  <c r="E348" i="2" s="1"/>
  <c r="G348" i="2" s="1"/>
  <c r="S44" i="1"/>
  <c r="S45" i="1" s="1"/>
  <c r="D11" i="3"/>
  <c r="D6" i="3"/>
  <c r="D10" i="3"/>
  <c r="R44" i="1"/>
  <c r="M37" i="1"/>
  <c r="M38" i="1" s="1"/>
  <c r="U38" i="1" s="1"/>
  <c r="H9" i="3"/>
  <c r="D9" i="3"/>
  <c r="D8" i="3"/>
  <c r="D7" i="3"/>
  <c r="O44" i="1"/>
  <c r="E358" i="2"/>
  <c r="G358" i="2" s="1"/>
  <c r="E356" i="2"/>
  <c r="G356" i="2" s="1"/>
  <c r="E370" i="2"/>
  <c r="G370" i="2" s="1"/>
  <c r="E381" i="2"/>
  <c r="G381" i="2" s="1"/>
  <c r="E352" i="2"/>
  <c r="G352" i="2" s="1"/>
  <c r="E373" i="2"/>
  <c r="G373" i="2" s="1"/>
  <c r="E346" i="2"/>
  <c r="G346" i="2" s="1"/>
  <c r="E369" i="2"/>
  <c r="G369" i="2" s="1"/>
  <c r="E345" i="2"/>
  <c r="G345" i="2" s="1"/>
  <c r="E349" i="2"/>
  <c r="G349" i="2" s="1"/>
  <c r="I9" i="3"/>
  <c r="E380" i="2"/>
  <c r="G380" i="2" s="1"/>
  <c r="E353" i="2"/>
  <c r="G353" i="2" s="1"/>
  <c r="E366" i="2"/>
  <c r="G366" i="2" s="1"/>
  <c r="E365" i="2"/>
  <c r="G365" i="2" s="1"/>
  <c r="E354" i="2"/>
  <c r="G354" i="2" s="1"/>
  <c r="E351" i="2"/>
  <c r="G351" i="2" s="1"/>
  <c r="E377" i="2" l="1"/>
  <c r="G377" i="2" s="1"/>
  <c r="E361" i="2"/>
  <c r="G361" i="2" s="1"/>
  <c r="E350" i="2"/>
  <c r="G350" i="2" s="1"/>
  <c r="E360" i="2"/>
  <c r="G360" i="2" s="1"/>
  <c r="E364" i="2"/>
  <c r="G364" i="2" s="1"/>
  <c r="E368" i="2"/>
  <c r="G368" i="2" s="1"/>
  <c r="E376" i="2"/>
  <c r="G376" i="2" s="1"/>
  <c r="E359" i="2"/>
  <c r="G359" i="2" s="1"/>
  <c r="E560" i="2"/>
  <c r="E367" i="2"/>
  <c r="G367" i="2" s="1"/>
  <c r="E375" i="2"/>
  <c r="G375" i="2" s="1"/>
  <c r="E357" i="2"/>
  <c r="G357" i="2" s="1"/>
  <c r="E362" i="2"/>
  <c r="G362" i="2" s="1"/>
  <c r="E355" i="2"/>
  <c r="G355" i="2" s="1"/>
  <c r="E372" i="2"/>
  <c r="G372" i="2" s="1"/>
  <c r="E378" i="2"/>
  <c r="G378" i="2" s="1"/>
  <c r="E344" i="2"/>
  <c r="G344" i="2" s="1"/>
  <c r="E379" i="2"/>
  <c r="G379" i="2" s="1"/>
  <c r="R45" i="1"/>
  <c r="I10" i="3" s="1"/>
  <c r="E347" i="2"/>
  <c r="G347" i="2" s="1"/>
  <c r="E371" i="2"/>
  <c r="G371" i="2" s="1"/>
  <c r="E374" i="2"/>
  <c r="G374" i="2" s="1"/>
  <c r="E363" i="2"/>
  <c r="G363" i="2" s="1"/>
  <c r="H7" i="3"/>
  <c r="O45" i="1"/>
  <c r="E543" i="2"/>
  <c r="G543" i="2" s="1"/>
  <c r="E551" i="2"/>
  <c r="G551" i="2" s="1"/>
  <c r="E544" i="2"/>
  <c r="G544" i="2" s="1"/>
  <c r="E552" i="2"/>
  <c r="G552" i="2" s="1"/>
  <c r="E541" i="2"/>
  <c r="G541" i="2" s="1"/>
  <c r="E542" i="2"/>
  <c r="G542" i="2" s="1"/>
  <c r="E545" i="2"/>
  <c r="G545" i="2" s="1"/>
  <c r="E546" i="2"/>
  <c r="G546" i="2" s="1"/>
  <c r="E550" i="2"/>
  <c r="G550" i="2" s="1"/>
  <c r="E539" i="2"/>
  <c r="G539" i="2" s="1"/>
  <c r="E547" i="2"/>
  <c r="G547" i="2" s="1"/>
  <c r="E540" i="2"/>
  <c r="G540" i="2" s="1"/>
  <c r="E548" i="2"/>
  <c r="G548" i="2" s="1"/>
  <c r="E549" i="2"/>
  <c r="G549" i="2" s="1"/>
  <c r="E481" i="2"/>
  <c r="G481" i="2" s="1"/>
  <c r="E519" i="2"/>
  <c r="G519" i="2" s="1"/>
  <c r="E524" i="2"/>
  <c r="G524" i="2" s="1"/>
  <c r="E526" i="2"/>
  <c r="G526" i="2" s="1"/>
  <c r="E535" i="2"/>
  <c r="G535" i="2" s="1"/>
  <c r="E521" i="2"/>
  <c r="G521" i="2" s="1"/>
  <c r="E523" i="2"/>
  <c r="G523" i="2" s="1"/>
  <c r="E528" i="2"/>
  <c r="G528" i="2" s="1"/>
  <c r="E530" i="2"/>
  <c r="G530" i="2" s="1"/>
  <c r="E537" i="2"/>
  <c r="G537" i="2" s="1"/>
  <c r="E532" i="2"/>
  <c r="G532" i="2" s="1"/>
  <c r="E518" i="2"/>
  <c r="G518" i="2" s="1"/>
  <c r="E525" i="2"/>
  <c r="G525" i="2" s="1"/>
  <c r="E527" i="2"/>
  <c r="G527" i="2" s="1"/>
  <c r="E534" i="2"/>
  <c r="G534" i="2" s="1"/>
  <c r="E520" i="2"/>
  <c r="G520" i="2" s="1"/>
  <c r="E522" i="2"/>
  <c r="G522" i="2" s="1"/>
  <c r="E529" i="2"/>
  <c r="G529" i="2" s="1"/>
  <c r="E531" i="2"/>
  <c r="G531" i="2" s="1"/>
  <c r="E536" i="2"/>
  <c r="G536" i="2" s="1"/>
  <c r="E538" i="2"/>
  <c r="G538" i="2" s="1"/>
  <c r="E533" i="2"/>
  <c r="G533" i="2" s="1"/>
  <c r="E488" i="2"/>
  <c r="G488" i="2" s="1"/>
  <c r="E509" i="2"/>
  <c r="G509" i="2" s="1"/>
  <c r="E491" i="2"/>
  <c r="G491" i="2" s="1"/>
  <c r="E510" i="2"/>
  <c r="G510" i="2" s="1"/>
  <c r="E512" i="2"/>
  <c r="G512" i="2" s="1"/>
  <c r="E500" i="2"/>
  <c r="G500" i="2" s="1"/>
  <c r="E493" i="2"/>
  <c r="G493" i="2" s="1"/>
  <c r="E487" i="2"/>
  <c r="G487" i="2" s="1"/>
  <c r="E501" i="2"/>
  <c r="G501" i="2" s="1"/>
  <c r="E517" i="2"/>
  <c r="G517" i="2" s="1"/>
  <c r="E431" i="2"/>
  <c r="G431" i="2" s="1"/>
  <c r="E430" i="2"/>
  <c r="G430" i="2" s="1"/>
  <c r="E504" i="2"/>
  <c r="G504" i="2" s="1"/>
  <c r="E513" i="2"/>
  <c r="G513" i="2" s="1"/>
  <c r="E446" i="2"/>
  <c r="G446" i="2" s="1"/>
  <c r="E436" i="2"/>
  <c r="G436" i="2" s="1"/>
  <c r="E454" i="2"/>
  <c r="G454" i="2" s="1"/>
  <c r="E453" i="2"/>
  <c r="G453" i="2" s="1"/>
  <c r="E476" i="2"/>
  <c r="G476" i="2" s="1"/>
  <c r="E448" i="2"/>
  <c r="G448" i="2" s="1"/>
  <c r="E484" i="2"/>
  <c r="G484" i="2" s="1"/>
  <c r="E457" i="2"/>
  <c r="G457" i="2" s="1"/>
  <c r="E475" i="2"/>
  <c r="G475" i="2" s="1"/>
  <c r="E482" i="2"/>
  <c r="G482" i="2" s="1"/>
  <c r="E473" i="2"/>
  <c r="G473" i="2" s="1"/>
  <c r="I6" i="3"/>
  <c r="E503" i="2"/>
  <c r="G503" i="2" s="1"/>
  <c r="E438" i="2"/>
  <c r="G438" i="2" s="1"/>
  <c r="E445" i="2"/>
  <c r="G445" i="2" s="1"/>
  <c r="E444" i="2"/>
  <c r="G444" i="2" s="1"/>
  <c r="E467" i="2"/>
  <c r="G467" i="2" s="1"/>
  <c r="E458" i="2"/>
  <c r="G458" i="2" s="1"/>
  <c r="E465" i="2"/>
  <c r="G465" i="2" s="1"/>
  <c r="E470" i="2"/>
  <c r="G470" i="2" s="1"/>
  <c r="E466" i="2"/>
  <c r="G466" i="2" s="1"/>
  <c r="E479" i="2"/>
  <c r="G479" i="2" s="1"/>
  <c r="E443" i="2"/>
  <c r="G443" i="2" s="1"/>
  <c r="E496" i="2"/>
  <c r="G496" i="2" s="1"/>
  <c r="E495" i="2"/>
  <c r="G495" i="2" s="1"/>
  <c r="E494" i="2"/>
  <c r="G494" i="2" s="1"/>
  <c r="E474" i="2"/>
  <c r="G474" i="2" s="1"/>
  <c r="E468" i="2"/>
  <c r="G468" i="2" s="1"/>
  <c r="H10" i="3"/>
  <c r="E428" i="2"/>
  <c r="G428" i="2" s="1"/>
  <c r="E434" i="2"/>
  <c r="G434" i="2" s="1"/>
  <c r="E478" i="2"/>
  <c r="G478" i="2" s="1"/>
  <c r="E490" i="2"/>
  <c r="G490" i="2" s="1"/>
  <c r="E432" i="2"/>
  <c r="G432" i="2" s="1"/>
  <c r="E477" i="2"/>
  <c r="G477" i="2" s="1"/>
  <c r="E435" i="2"/>
  <c r="G435" i="2" s="1"/>
  <c r="E437" i="2"/>
  <c r="G437" i="2" s="1"/>
  <c r="E480" i="2"/>
  <c r="G480" i="2" s="1"/>
  <c r="E427" i="2"/>
  <c r="G427" i="2" s="1"/>
  <c r="E498" i="2"/>
  <c r="G498" i="2" s="1"/>
  <c r="E447" i="2"/>
  <c r="G447" i="2" s="1"/>
  <c r="E489" i="2"/>
  <c r="G489" i="2" s="1"/>
  <c r="E557" i="2"/>
  <c r="E464" i="2"/>
  <c r="G464" i="2" s="1"/>
  <c r="E507" i="2"/>
  <c r="G507" i="2" s="1"/>
  <c r="E450" i="2"/>
  <c r="G450" i="2" s="1"/>
  <c r="E463" i="2"/>
  <c r="G463" i="2" s="1"/>
  <c r="E505" i="2"/>
  <c r="G505" i="2" s="1"/>
  <c r="E421" i="2"/>
  <c r="G421" i="2" s="1"/>
  <c r="E441" i="2"/>
  <c r="G441" i="2" s="1"/>
  <c r="E492" i="2"/>
  <c r="G492" i="2" s="1"/>
  <c r="E471" i="2"/>
  <c r="G471" i="2" s="1"/>
  <c r="E483" i="2"/>
  <c r="G483" i="2" s="1"/>
  <c r="E515" i="2"/>
  <c r="G515" i="2" s="1"/>
  <c r="E456" i="2"/>
  <c r="G456" i="2" s="1"/>
  <c r="E499" i="2"/>
  <c r="G499" i="2" s="1"/>
  <c r="E516" i="2"/>
  <c r="G516" i="2" s="1"/>
  <c r="E455" i="2"/>
  <c r="G455" i="2" s="1"/>
  <c r="E497" i="2"/>
  <c r="G497" i="2" s="1"/>
  <c r="E459" i="2"/>
  <c r="G459" i="2" s="1"/>
  <c r="E502" i="2"/>
  <c r="G502" i="2" s="1"/>
  <c r="E433" i="2"/>
  <c r="G433" i="2" s="1"/>
  <c r="E469" i="2"/>
  <c r="G469" i="2" s="1"/>
  <c r="E511" i="2"/>
  <c r="G511" i="2" s="1"/>
  <c r="E442" i="2"/>
  <c r="G442" i="2" s="1"/>
  <c r="E486" i="2"/>
  <c r="G486" i="2" s="1"/>
  <c r="E460" i="2"/>
  <c r="G460" i="2" s="1"/>
  <c r="E514" i="2"/>
  <c r="G514" i="2" s="1"/>
  <c r="E440" i="2"/>
  <c r="G440" i="2" s="1"/>
  <c r="E485" i="2"/>
  <c r="G485" i="2" s="1"/>
  <c r="E508" i="2"/>
  <c r="G508" i="2" s="1"/>
  <c r="E462" i="2"/>
  <c r="G462" i="2" s="1"/>
  <c r="E461" i="2"/>
  <c r="G461" i="2" s="1"/>
  <c r="E451" i="2"/>
  <c r="G451" i="2" s="1"/>
  <c r="E449" i="2"/>
  <c r="G449" i="2" s="1"/>
  <c r="E472" i="2"/>
  <c r="G472" i="2" s="1"/>
  <c r="E439" i="2"/>
  <c r="G439" i="2" s="1"/>
  <c r="E452" i="2"/>
  <c r="G452" i="2" s="1"/>
  <c r="E429" i="2"/>
  <c r="G429" i="2" s="1"/>
  <c r="E506" i="2"/>
  <c r="G506" i="2" s="1"/>
  <c r="D12" i="3"/>
  <c r="H12" i="3" s="1"/>
  <c r="I12" i="3" s="1"/>
  <c r="H11" i="3"/>
  <c r="E383" i="2"/>
  <c r="G383" i="2" s="1"/>
  <c r="G559" i="2" s="1"/>
  <c r="J8" i="3" s="1"/>
  <c r="I8" i="3"/>
  <c r="E559" i="2"/>
  <c r="E561" i="2" l="1"/>
  <c r="E343" i="2"/>
  <c r="G343" i="2" s="1"/>
  <c r="G561" i="2" s="1"/>
  <c r="J10" i="3" s="1"/>
  <c r="G382" i="2"/>
  <c r="G560" i="2" s="1"/>
  <c r="J9" i="3" s="1"/>
  <c r="E318" i="2"/>
  <c r="G318" i="2" s="1"/>
  <c r="E326" i="2"/>
  <c r="G326" i="2" s="1"/>
  <c r="E321" i="2"/>
  <c r="G321" i="2" s="1"/>
  <c r="E324" i="2"/>
  <c r="G324" i="2" s="1"/>
  <c r="E322" i="2"/>
  <c r="G322" i="2" s="1"/>
  <c r="E317" i="2"/>
  <c r="G317" i="2" s="1"/>
  <c r="E319" i="2"/>
  <c r="G319" i="2" s="1"/>
  <c r="E327" i="2"/>
  <c r="G327" i="2" s="1"/>
  <c r="E325" i="2"/>
  <c r="G325" i="2" s="1"/>
  <c r="E320" i="2"/>
  <c r="G320" i="2" s="1"/>
  <c r="E323" i="2"/>
  <c r="G323" i="2" s="1"/>
  <c r="E391" i="2"/>
  <c r="G391" i="2" s="1"/>
  <c r="E405" i="2"/>
  <c r="G405" i="2" s="1"/>
  <c r="E408" i="2"/>
  <c r="G408" i="2" s="1"/>
  <c r="E407" i="2"/>
  <c r="G407" i="2" s="1"/>
  <c r="E406" i="2"/>
  <c r="G406" i="2" s="1"/>
  <c r="E117" i="2"/>
  <c r="G117" i="2" s="1"/>
  <c r="E91" i="2"/>
  <c r="G91" i="2" s="1"/>
  <c r="E99" i="2"/>
  <c r="G99" i="2" s="1"/>
  <c r="E76" i="2"/>
  <c r="G76" i="2" s="1"/>
  <c r="E80" i="2"/>
  <c r="G80" i="2" s="1"/>
  <c r="E84" i="2"/>
  <c r="G84" i="2" s="1"/>
  <c r="E88" i="2"/>
  <c r="G88" i="2" s="1"/>
  <c r="E92" i="2"/>
  <c r="G92" i="2" s="1"/>
  <c r="E96" i="2"/>
  <c r="G96" i="2" s="1"/>
  <c r="E100" i="2"/>
  <c r="G100" i="2" s="1"/>
  <c r="E104" i="2"/>
  <c r="G104" i="2" s="1"/>
  <c r="E108" i="2"/>
  <c r="G108" i="2" s="1"/>
  <c r="E112" i="2"/>
  <c r="G112" i="2" s="1"/>
  <c r="E116" i="2"/>
  <c r="G116" i="2" s="1"/>
  <c r="E111" i="2"/>
  <c r="G111" i="2" s="1"/>
  <c r="E115" i="2"/>
  <c r="G115" i="2" s="1"/>
  <c r="E119" i="2"/>
  <c r="G119" i="2" s="1"/>
  <c r="E75" i="2"/>
  <c r="G75" i="2" s="1"/>
  <c r="E79" i="2"/>
  <c r="G79" i="2" s="1"/>
  <c r="E83" i="2"/>
  <c r="G83" i="2" s="1"/>
  <c r="E87" i="2"/>
  <c r="G87" i="2" s="1"/>
  <c r="E95" i="2"/>
  <c r="G95" i="2" s="1"/>
  <c r="E103" i="2"/>
  <c r="G103" i="2" s="1"/>
  <c r="E123" i="2"/>
  <c r="G123" i="2" s="1"/>
  <c r="E74" i="2"/>
  <c r="G74" i="2" s="1"/>
  <c r="E78" i="2"/>
  <c r="G78" i="2" s="1"/>
  <c r="E82" i="2"/>
  <c r="G82" i="2" s="1"/>
  <c r="E86" i="2"/>
  <c r="G86" i="2" s="1"/>
  <c r="E90" i="2"/>
  <c r="G90" i="2" s="1"/>
  <c r="E94" i="2"/>
  <c r="G94" i="2" s="1"/>
  <c r="E98" i="2"/>
  <c r="G98" i="2" s="1"/>
  <c r="E102" i="2"/>
  <c r="G102" i="2" s="1"/>
  <c r="E106" i="2"/>
  <c r="G106" i="2" s="1"/>
  <c r="E110" i="2"/>
  <c r="G110" i="2" s="1"/>
  <c r="E114" i="2"/>
  <c r="G114" i="2" s="1"/>
  <c r="E118" i="2"/>
  <c r="G118" i="2" s="1"/>
  <c r="E122" i="2"/>
  <c r="G122" i="2" s="1"/>
  <c r="E73" i="2"/>
  <c r="G73" i="2" s="1"/>
  <c r="E77" i="2"/>
  <c r="G77" i="2" s="1"/>
  <c r="E81" i="2"/>
  <c r="G81" i="2" s="1"/>
  <c r="E85" i="2"/>
  <c r="G85" i="2" s="1"/>
  <c r="E89" i="2"/>
  <c r="G89" i="2" s="1"/>
  <c r="E93" i="2"/>
  <c r="G93" i="2" s="1"/>
  <c r="E97" i="2"/>
  <c r="G97" i="2" s="1"/>
  <c r="E101" i="2"/>
  <c r="G101" i="2" s="1"/>
  <c r="E105" i="2"/>
  <c r="G105" i="2" s="1"/>
  <c r="E109" i="2"/>
  <c r="G109" i="2" s="1"/>
  <c r="E113" i="2"/>
  <c r="G113" i="2" s="1"/>
  <c r="E121" i="2"/>
  <c r="G121" i="2" s="1"/>
  <c r="E120" i="2"/>
  <c r="G120" i="2" s="1"/>
  <c r="E124" i="2"/>
  <c r="G124" i="2" s="1"/>
  <c r="E107" i="2"/>
  <c r="G107" i="2" s="1"/>
  <c r="E386" i="2"/>
  <c r="G386" i="2" s="1"/>
  <c r="E425" i="2"/>
  <c r="G425" i="2" s="1"/>
  <c r="E388" i="2"/>
  <c r="G388" i="2" s="1"/>
  <c r="E399" i="2"/>
  <c r="G399" i="2" s="1"/>
  <c r="E411" i="2"/>
  <c r="G411" i="2" s="1"/>
  <c r="E418" i="2"/>
  <c r="G418" i="2" s="1"/>
  <c r="E393" i="2"/>
  <c r="G393" i="2" s="1"/>
  <c r="E396" i="2"/>
  <c r="G396" i="2" s="1"/>
  <c r="I7" i="3"/>
  <c r="E389" i="2"/>
  <c r="G389" i="2" s="1"/>
  <c r="E395" i="2"/>
  <c r="G395" i="2" s="1"/>
  <c r="E422" i="2"/>
  <c r="G422" i="2" s="1"/>
  <c r="E384" i="2"/>
  <c r="G384" i="2" s="1"/>
  <c r="E394" i="2"/>
  <c r="G394" i="2" s="1"/>
  <c r="E416" i="2"/>
  <c r="G416" i="2" s="1"/>
  <c r="E410" i="2"/>
  <c r="G410" i="2" s="1"/>
  <c r="E424" i="2"/>
  <c r="G424" i="2" s="1"/>
  <c r="E423" i="2"/>
  <c r="G423" i="2" s="1"/>
  <c r="U37" i="1"/>
  <c r="E413" i="2"/>
  <c r="G413" i="2" s="1"/>
  <c r="E402" i="2"/>
  <c r="G402" i="2" s="1"/>
  <c r="E414" i="2"/>
  <c r="G414" i="2" s="1"/>
  <c r="E400" i="2"/>
  <c r="G400" i="2" s="1"/>
  <c r="E398" i="2"/>
  <c r="G398" i="2" s="1"/>
  <c r="E404" i="2"/>
  <c r="G404" i="2" s="1"/>
  <c r="E420" i="2"/>
  <c r="G420" i="2" s="1"/>
  <c r="E390" i="2"/>
  <c r="G390" i="2" s="1"/>
  <c r="E415" i="2"/>
  <c r="G415" i="2" s="1"/>
  <c r="E558" i="2"/>
  <c r="E385" i="2"/>
  <c r="G385" i="2" s="1"/>
  <c r="E392" i="2"/>
  <c r="G392" i="2" s="1"/>
  <c r="E387" i="2"/>
  <c r="G387" i="2" s="1"/>
  <c r="E401" i="2"/>
  <c r="G401" i="2" s="1"/>
  <c r="E409" i="2"/>
  <c r="G409" i="2" s="1"/>
  <c r="E417" i="2"/>
  <c r="G417" i="2" s="1"/>
  <c r="E419" i="2"/>
  <c r="G419" i="2" s="1"/>
  <c r="E403" i="2"/>
  <c r="G403" i="2" s="1"/>
  <c r="E397" i="2"/>
  <c r="G397" i="2" s="1"/>
  <c r="E412" i="2"/>
  <c r="G412" i="2" s="1"/>
  <c r="G553" i="2"/>
  <c r="G557" i="2" s="1"/>
  <c r="J6" i="3" s="1"/>
  <c r="E275" i="2"/>
  <c r="G275" i="2" s="1"/>
  <c r="E161" i="2"/>
  <c r="G161" i="2" s="1"/>
  <c r="E70" i="2"/>
  <c r="G70" i="2" s="1"/>
  <c r="E272" i="2"/>
  <c r="G272" i="2" s="1"/>
  <c r="E211" i="2"/>
  <c r="G211" i="2" s="1"/>
  <c r="E230" i="2"/>
  <c r="G230" i="2" s="1"/>
  <c r="E167" i="2"/>
  <c r="G167" i="2" s="1"/>
  <c r="E232" i="2"/>
  <c r="G232" i="2" s="1"/>
  <c r="E267" i="2"/>
  <c r="G267" i="2" s="1"/>
  <c r="E202" i="2"/>
  <c r="G202" i="2" s="1"/>
  <c r="E222" i="2"/>
  <c r="G222" i="2" s="1"/>
  <c r="E159" i="2"/>
  <c r="G159" i="2" s="1"/>
  <c r="E62" i="2"/>
  <c r="G62" i="2" s="1"/>
  <c r="E247" i="2"/>
  <c r="G247" i="2" s="1"/>
  <c r="E186" i="2"/>
  <c r="G186" i="2" s="1"/>
  <c r="E58" i="2"/>
  <c r="G58" i="2" s="1"/>
  <c r="E35" i="2"/>
  <c r="G35" i="2" s="1"/>
  <c r="E203" i="2"/>
  <c r="G203" i="2" s="1"/>
  <c r="E190" i="2"/>
  <c r="G190" i="2" s="1"/>
  <c r="E8" i="2"/>
  <c r="G8" i="2" s="1"/>
  <c r="E126" i="2"/>
  <c r="G126" i="2" s="1"/>
  <c r="E215" i="2"/>
  <c r="G215" i="2" s="1"/>
  <c r="E149" i="2"/>
  <c r="G149" i="2" s="1"/>
  <c r="E31" i="2"/>
  <c r="G31" i="2" s="1"/>
  <c r="E219" i="2"/>
  <c r="G219" i="2" s="1"/>
  <c r="E233" i="2"/>
  <c r="G233" i="2" s="1"/>
  <c r="E293" i="2"/>
  <c r="G293" i="2" s="1"/>
  <c r="E292" i="2"/>
  <c r="G292" i="2" s="1"/>
  <c r="E294" i="2"/>
  <c r="G294" i="2" s="1"/>
  <c r="E291" i="2"/>
  <c r="G291" i="2" s="1"/>
  <c r="E307" i="2"/>
  <c r="G307" i="2" s="1"/>
  <c r="E153" i="2"/>
  <c r="G153" i="2" s="1"/>
  <c r="E220" i="2"/>
  <c r="G220" i="2" s="1"/>
  <c r="E51" i="2"/>
  <c r="G51" i="2" s="1"/>
  <c r="E66" i="2"/>
  <c r="G66" i="2" s="1"/>
  <c r="E264" i="2"/>
  <c r="G264" i="2" s="1"/>
  <c r="E147" i="2"/>
  <c r="G147" i="2" s="1"/>
  <c r="E237" i="2"/>
  <c r="G237" i="2" s="1"/>
  <c r="E263" i="2"/>
  <c r="G263" i="2" s="1"/>
  <c r="E212" i="2"/>
  <c r="G212" i="2" s="1"/>
  <c r="E309" i="2"/>
  <c r="G309" i="2" s="1"/>
  <c r="E136" i="2"/>
  <c r="G136" i="2" s="1"/>
  <c r="E281" i="2"/>
  <c r="G281" i="2" s="1"/>
  <c r="E254" i="2"/>
  <c r="G254" i="2" s="1"/>
  <c r="E145" i="2"/>
  <c r="G145" i="2" s="1"/>
  <c r="E168" i="2"/>
  <c r="G168" i="2" s="1"/>
  <c r="E43" i="2"/>
  <c r="G43" i="2" s="1"/>
  <c r="E34" i="2"/>
  <c r="G34" i="2" s="1"/>
  <c r="E248" i="2"/>
  <c r="G248" i="2" s="1"/>
  <c r="E139" i="2"/>
  <c r="G139" i="2" s="1"/>
  <c r="E221" i="2"/>
  <c r="G221" i="2" s="1"/>
  <c r="E251" i="2"/>
  <c r="G251" i="2" s="1"/>
  <c r="E204" i="2"/>
  <c r="G204" i="2" s="1"/>
  <c r="E271" i="2"/>
  <c r="G271" i="2" s="1"/>
  <c r="E20" i="2"/>
  <c r="G20" i="2" s="1"/>
  <c r="E277" i="2"/>
  <c r="G277" i="2" s="1"/>
  <c r="E270" i="2"/>
  <c r="G270" i="2" s="1"/>
  <c r="E201" i="2"/>
  <c r="G201" i="2" s="1"/>
  <c r="E21" i="2"/>
  <c r="G21" i="2" s="1"/>
  <c r="E54" i="2"/>
  <c r="G54" i="2" s="1"/>
  <c r="E59" i="2"/>
  <c r="G59" i="2" s="1"/>
  <c r="E33" i="2"/>
  <c r="G33" i="2" s="1"/>
  <c r="E125" i="2"/>
  <c r="G125" i="2" s="1"/>
  <c r="E224" i="2"/>
  <c r="G224" i="2" s="1"/>
  <c r="E155" i="2"/>
  <c r="G155" i="2" s="1"/>
  <c r="E341" i="2"/>
  <c r="G341" i="2" s="1"/>
  <c r="E48" i="2"/>
  <c r="G48" i="2" s="1"/>
  <c r="E235" i="2"/>
  <c r="G235" i="2" s="1"/>
  <c r="E229" i="2"/>
  <c r="G229" i="2" s="1"/>
  <c r="E24" i="2"/>
  <c r="G24" i="2" s="1"/>
  <c r="E223" i="2"/>
  <c r="G223" i="2" s="1"/>
  <c r="E285" i="2"/>
  <c r="G285" i="2" s="1"/>
  <c r="E16" i="2"/>
  <c r="G16" i="2" s="1"/>
  <c r="E63" i="2"/>
  <c r="G63" i="2" s="1"/>
  <c r="E245" i="2"/>
  <c r="G245" i="2" s="1"/>
  <c r="E241" i="2"/>
  <c r="G241" i="2" s="1"/>
  <c r="E10" i="2"/>
  <c r="G10" i="2" s="1"/>
  <c r="E19" i="2"/>
  <c r="G19" i="2" s="1"/>
  <c r="E163" i="2"/>
  <c r="G163" i="2" s="1"/>
  <c r="E68" i="2"/>
  <c r="G68" i="2" s="1"/>
  <c r="E209" i="2"/>
  <c r="G209" i="2" s="1"/>
  <c r="E160" i="2"/>
  <c r="G160" i="2" s="1"/>
  <c r="E131" i="2"/>
  <c r="G131" i="2" s="1"/>
  <c r="E36" i="2"/>
  <c r="G36" i="2" s="1"/>
  <c r="E129" i="2"/>
  <c r="G129" i="2" s="1"/>
  <c r="E141" i="2"/>
  <c r="G141" i="2" s="1"/>
  <c r="E23" i="2"/>
  <c r="G23" i="2" s="1"/>
  <c r="E196" i="2"/>
  <c r="G196" i="2" s="1"/>
  <c r="E284" i="2"/>
  <c r="G284" i="2" s="1"/>
  <c r="E177" i="2"/>
  <c r="G177" i="2" s="1"/>
  <c r="E127" i="2"/>
  <c r="G127" i="2" s="1"/>
  <c r="E314" i="2"/>
  <c r="G314" i="2" s="1"/>
  <c r="E330" i="2"/>
  <c r="G330" i="2" s="1"/>
  <c r="E261" i="2"/>
  <c r="G261" i="2" s="1"/>
  <c r="E154" i="2"/>
  <c r="G154" i="2" s="1"/>
  <c r="E297" i="2"/>
  <c r="G297" i="2" s="1"/>
  <c r="E300" i="2"/>
  <c r="G300" i="2" s="1"/>
  <c r="E298" i="2"/>
  <c r="G298" i="2" s="1"/>
  <c r="E295" i="2"/>
  <c r="G295" i="2" s="1"/>
  <c r="E296" i="2"/>
  <c r="G296" i="2" s="1"/>
  <c r="E61" i="2"/>
  <c r="G61" i="2" s="1"/>
  <c r="E38" i="2"/>
  <c r="G38" i="2" s="1"/>
  <c r="E11" i="2"/>
  <c r="G11" i="2" s="1"/>
  <c r="E181" i="2"/>
  <c r="G181" i="2" s="1"/>
  <c r="E216" i="2"/>
  <c r="G216" i="2" s="1"/>
  <c r="E55" i="2"/>
  <c r="G55" i="2" s="1"/>
  <c r="E166" i="2"/>
  <c r="G166" i="2" s="1"/>
  <c r="E231" i="2"/>
  <c r="G231" i="2" s="1"/>
  <c r="E172" i="2"/>
  <c r="G172" i="2" s="1"/>
  <c r="E249" i="2"/>
  <c r="G249" i="2" s="1"/>
  <c r="E287" i="2"/>
  <c r="G287" i="2" s="1"/>
  <c r="E208" i="2"/>
  <c r="G208" i="2" s="1"/>
  <c r="E45" i="2"/>
  <c r="G45" i="2" s="1"/>
  <c r="E22" i="2"/>
  <c r="G22" i="2" s="1"/>
  <c r="E3" i="2"/>
  <c r="G3" i="2" s="1"/>
  <c r="E157" i="2"/>
  <c r="G157" i="2" s="1"/>
  <c r="E184" i="2"/>
  <c r="G184" i="2" s="1"/>
  <c r="E47" i="2"/>
  <c r="G47" i="2" s="1"/>
  <c r="E132" i="2"/>
  <c r="G132" i="2" s="1"/>
  <c r="E225" i="2"/>
  <c r="G225" i="2" s="1"/>
  <c r="E164" i="2"/>
  <c r="G164" i="2" s="1"/>
  <c r="E239" i="2"/>
  <c r="G239" i="2" s="1"/>
  <c r="E283" i="2"/>
  <c r="G283" i="2" s="1"/>
  <c r="E238" i="2"/>
  <c r="G238" i="2" s="1"/>
  <c r="E169" i="2"/>
  <c r="G169" i="2" s="1"/>
  <c r="E310" i="2"/>
  <c r="G310" i="2" s="1"/>
  <c r="E207" i="2"/>
  <c r="G207" i="2" s="1"/>
  <c r="E27" i="2"/>
  <c r="G27" i="2" s="1"/>
  <c r="E218" i="2"/>
  <c r="G218" i="2" s="1"/>
  <c r="E41" i="2"/>
  <c r="G41" i="2" s="1"/>
  <c r="E130" i="2"/>
  <c r="G130" i="2" s="1"/>
  <c r="E71" i="2"/>
  <c r="G71" i="2" s="1"/>
  <c r="E269" i="2"/>
  <c r="G269" i="2" s="1"/>
  <c r="E340" i="2"/>
  <c r="G340" i="2" s="1"/>
  <c r="E214" i="2"/>
  <c r="G214" i="2" s="1"/>
  <c r="E188" i="2"/>
  <c r="G188" i="2" s="1"/>
  <c r="E331" i="2"/>
  <c r="G331" i="2" s="1"/>
  <c r="E194" i="2"/>
  <c r="G194" i="2" s="1"/>
  <c r="E280" i="2"/>
  <c r="G280" i="2" s="1"/>
  <c r="E189" i="2"/>
  <c r="G189" i="2" s="1"/>
  <c r="E312" i="2"/>
  <c r="G312" i="2" s="1"/>
  <c r="E173" i="2"/>
  <c r="G173" i="2" s="1"/>
  <c r="E44" i="2"/>
  <c r="G44" i="2" s="1"/>
  <c r="E144" i="2"/>
  <c r="G144" i="2" s="1"/>
  <c r="E146" i="2"/>
  <c r="G146" i="2" s="1"/>
  <c r="E69" i="2"/>
  <c r="G69" i="2" s="1"/>
  <c r="E134" i="2"/>
  <c r="G134" i="2" s="1"/>
  <c r="E562" i="2"/>
  <c r="E180" i="2"/>
  <c r="G180" i="2" s="1"/>
  <c r="E276" i="2"/>
  <c r="G276" i="2" s="1"/>
  <c r="E29" i="2"/>
  <c r="G29" i="2" s="1"/>
  <c r="E205" i="2"/>
  <c r="G205" i="2" s="1"/>
  <c r="I11" i="3"/>
  <c r="E140" i="2"/>
  <c r="G140" i="2" s="1"/>
  <c r="E286" i="2"/>
  <c r="G286" i="2" s="1"/>
  <c r="E268" i="2"/>
  <c r="G268" i="2" s="1"/>
  <c r="E133" i="2"/>
  <c r="G133" i="2" s="1"/>
  <c r="E198" i="2"/>
  <c r="G198" i="2" s="1"/>
  <c r="E32" i="2"/>
  <c r="G32" i="2" s="1"/>
  <c r="E316" i="2"/>
  <c r="G316" i="2" s="1"/>
  <c r="E37" i="2"/>
  <c r="G37" i="2" s="1"/>
  <c r="E226" i="2"/>
  <c r="G226" i="2" s="1"/>
  <c r="E152" i="2"/>
  <c r="G152" i="2" s="1"/>
  <c r="E72" i="2"/>
  <c r="G72" i="2" s="1"/>
  <c r="E148" i="2"/>
  <c r="G148" i="2" s="1"/>
  <c r="E278" i="2"/>
  <c r="G278" i="2" s="1"/>
  <c r="E301" i="2"/>
  <c r="G301" i="2" s="1"/>
  <c r="E308" i="2"/>
  <c r="G308" i="2" s="1"/>
  <c r="E302" i="2"/>
  <c r="G302" i="2" s="1"/>
  <c r="E299" i="2"/>
  <c r="G299" i="2" s="1"/>
  <c r="E304" i="2"/>
  <c r="G304" i="2" s="1"/>
  <c r="E13" i="2"/>
  <c r="G13" i="2" s="1"/>
  <c r="E191" i="2"/>
  <c r="G191" i="2" s="1"/>
  <c r="E50" i="2"/>
  <c r="G50" i="2" s="1"/>
  <c r="E65" i="2"/>
  <c r="G65" i="2" s="1"/>
  <c r="E46" i="2"/>
  <c r="G46" i="2" s="1"/>
  <c r="E15" i="2"/>
  <c r="G15" i="2" s="1"/>
  <c r="E40" i="2"/>
  <c r="G40" i="2" s="1"/>
  <c r="E182" i="2"/>
  <c r="G182" i="2" s="1"/>
  <c r="E128" i="2"/>
  <c r="G128" i="2" s="1"/>
  <c r="E217" i="2"/>
  <c r="G217" i="2" s="1"/>
  <c r="E282" i="2"/>
  <c r="G282" i="2" s="1"/>
  <c r="E26" i="2"/>
  <c r="G26" i="2" s="1"/>
  <c r="E5" i="2"/>
  <c r="G5" i="2" s="1"/>
  <c r="E183" i="2"/>
  <c r="G183" i="2" s="1"/>
  <c r="E197" i="2"/>
  <c r="G197" i="2" s="1"/>
  <c r="E57" i="2"/>
  <c r="G57" i="2" s="1"/>
  <c r="E30" i="2"/>
  <c r="G30" i="2" s="1"/>
  <c r="E4" i="2"/>
  <c r="G4" i="2" s="1"/>
  <c r="E28" i="2"/>
  <c r="G28" i="2" s="1"/>
  <c r="E158" i="2"/>
  <c r="G158" i="2" s="1"/>
  <c r="E56" i="2"/>
  <c r="G56" i="2" s="1"/>
  <c r="E210" i="2"/>
  <c r="G210" i="2" s="1"/>
  <c r="E274" i="2"/>
  <c r="G274" i="2" s="1"/>
  <c r="E176" i="2"/>
  <c r="G176" i="2" s="1"/>
  <c r="E137" i="2"/>
  <c r="G137" i="2" s="1"/>
  <c r="E244" i="2"/>
  <c r="G244" i="2" s="1"/>
  <c r="E175" i="2"/>
  <c r="G175" i="2" s="1"/>
  <c r="E258" i="2"/>
  <c r="G258" i="2" s="1"/>
  <c r="E18" i="2"/>
  <c r="G18" i="2" s="1"/>
  <c r="E6" i="2"/>
  <c r="G6" i="2" s="1"/>
  <c r="E14" i="2"/>
  <c r="G14" i="2" s="1"/>
  <c r="E39" i="2"/>
  <c r="G39" i="2" s="1"/>
  <c r="E206" i="2"/>
  <c r="G206" i="2" s="1"/>
  <c r="E313" i="2"/>
  <c r="G313" i="2" s="1"/>
  <c r="E150" i="2"/>
  <c r="G150" i="2" s="1"/>
  <c r="E156" i="2"/>
  <c r="G156" i="2" s="1"/>
  <c r="E265" i="2"/>
  <c r="G265" i="2" s="1"/>
  <c r="E162" i="2"/>
  <c r="G162" i="2" s="1"/>
  <c r="E279" i="2"/>
  <c r="G279" i="2" s="1"/>
  <c r="E253" i="2"/>
  <c r="G253" i="2" s="1"/>
  <c r="E255" i="2"/>
  <c r="G255" i="2" s="1"/>
  <c r="E329" i="2"/>
  <c r="G329" i="2" s="1"/>
  <c r="E67" i="2"/>
  <c r="G67" i="2" s="1"/>
  <c r="E228" i="2"/>
  <c r="G228" i="2" s="1"/>
  <c r="E49" i="2"/>
  <c r="G49" i="2" s="1"/>
  <c r="E174" i="2"/>
  <c r="G174" i="2" s="1"/>
  <c r="E315" i="2"/>
  <c r="G315" i="2" s="1"/>
  <c r="E192" i="2"/>
  <c r="G192" i="2" s="1"/>
  <c r="E138" i="2"/>
  <c r="G138" i="2" s="1"/>
  <c r="E25" i="2"/>
  <c r="G25" i="2" s="1"/>
  <c r="E60" i="2"/>
  <c r="G60" i="2" s="1"/>
  <c r="E259" i="2"/>
  <c r="G259" i="2" s="1"/>
  <c r="E262" i="2"/>
  <c r="G262" i="2" s="1"/>
  <c r="E199" i="2"/>
  <c r="G199" i="2" s="1"/>
  <c r="E240" i="2"/>
  <c r="G240" i="2" s="1"/>
  <c r="E335" i="2"/>
  <c r="G335" i="2" s="1"/>
  <c r="E227" i="2"/>
  <c r="G227" i="2" s="1"/>
  <c r="E246" i="2"/>
  <c r="G246" i="2" s="1"/>
  <c r="E236" i="2"/>
  <c r="G236" i="2" s="1"/>
  <c r="E242" i="2"/>
  <c r="G242" i="2" s="1"/>
  <c r="E171" i="2"/>
  <c r="G171" i="2" s="1"/>
  <c r="E273" i="2"/>
  <c r="G273" i="2" s="1"/>
  <c r="E336" i="2"/>
  <c r="G336" i="2" s="1"/>
  <c r="E289" i="2"/>
  <c r="G289" i="2" s="1"/>
  <c r="E305" i="2"/>
  <c r="G305" i="2" s="1"/>
  <c r="E290" i="2"/>
  <c r="G290" i="2" s="1"/>
  <c r="E306" i="2"/>
  <c r="G306" i="2" s="1"/>
  <c r="E303" i="2"/>
  <c r="G303" i="2" s="1"/>
  <c r="E193" i="2"/>
  <c r="G193" i="2" s="1"/>
  <c r="E260" i="2"/>
  <c r="G260" i="2" s="1"/>
  <c r="E151" i="2"/>
  <c r="G151" i="2" s="1"/>
  <c r="E288" i="2"/>
  <c r="G288" i="2" s="1"/>
  <c r="E17" i="2"/>
  <c r="G17" i="2" s="1"/>
  <c r="E195" i="2"/>
  <c r="G195" i="2" s="1"/>
  <c r="E338" i="2"/>
  <c r="G338" i="2" s="1"/>
  <c r="E332" i="2"/>
  <c r="G332" i="2" s="1"/>
  <c r="E337" i="2"/>
  <c r="G337" i="2" s="1"/>
  <c r="E12" i="2"/>
  <c r="G12" i="2" s="1"/>
  <c r="E178" i="2"/>
  <c r="G178" i="2" s="1"/>
  <c r="E234" i="2"/>
  <c r="G234" i="2" s="1"/>
  <c r="E185" i="2"/>
  <c r="G185" i="2" s="1"/>
  <c r="E252" i="2"/>
  <c r="G252" i="2" s="1"/>
  <c r="E135" i="2"/>
  <c r="G135" i="2" s="1"/>
  <c r="E266" i="2"/>
  <c r="G266" i="2" s="1"/>
  <c r="E9" i="2"/>
  <c r="G9" i="2" s="1"/>
  <c r="E179" i="2"/>
  <c r="G179" i="2" s="1"/>
  <c r="E333" i="2"/>
  <c r="G333" i="2" s="1"/>
  <c r="E328" i="2"/>
  <c r="G328" i="2" s="1"/>
  <c r="E311" i="2"/>
  <c r="G311" i="2" s="1"/>
  <c r="E339" i="2"/>
  <c r="G339" i="2" s="1"/>
  <c r="E170" i="2"/>
  <c r="G170" i="2" s="1"/>
  <c r="E250" i="2"/>
  <c r="G250" i="2" s="1"/>
  <c r="E42" i="2"/>
  <c r="G42" i="2" s="1"/>
  <c r="E53" i="2"/>
  <c r="G53" i="2" s="1"/>
  <c r="E200" i="2"/>
  <c r="G200" i="2" s="1"/>
  <c r="E143" i="2"/>
  <c r="G143" i="2" s="1"/>
  <c r="E213" i="2"/>
  <c r="G213" i="2" s="1"/>
  <c r="E165" i="2"/>
  <c r="G165" i="2" s="1"/>
  <c r="E256" i="2"/>
  <c r="G256" i="2" s="1"/>
  <c r="E187" i="2"/>
  <c r="G187" i="2" s="1"/>
  <c r="E7" i="2"/>
  <c r="G7" i="2" s="1"/>
  <c r="E142" i="2"/>
  <c r="G142" i="2" s="1"/>
  <c r="E257" i="2"/>
  <c r="G257" i="2" s="1"/>
  <c r="E334" i="2"/>
  <c r="G334" i="2" s="1"/>
  <c r="E64" i="2"/>
  <c r="G64" i="2" s="1"/>
  <c r="E243" i="2"/>
  <c r="G243" i="2" s="1"/>
  <c r="E52" i="2"/>
  <c r="G52" i="2" s="1"/>
  <c r="G426" i="2" l="1"/>
  <c r="G558" i="2" s="1"/>
  <c r="J7" i="3" s="1"/>
  <c r="G342" i="2"/>
  <c r="G562" i="2" s="1"/>
  <c r="J11" i="3" s="1"/>
  <c r="J12" i="3" l="1"/>
  <c r="G563" i="2"/>
</calcChain>
</file>

<file path=xl/sharedStrings.xml><?xml version="1.0" encoding="utf-8"?>
<sst xmlns="http://schemas.openxmlformats.org/spreadsheetml/2006/main" count="2437" uniqueCount="716">
  <si>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</si>
  <si>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</si>
  <si>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</si>
  <si>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</si>
  <si>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</si>
  <si>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</si>
  <si>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</si>
  <si>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</si>
  <si>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</si>
  <si>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</si>
  <si>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</si>
  <si>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</si>
  <si>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</si>
  <si>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</si>
  <si>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</si>
  <si>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</si>
  <si>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</si>
  <si>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</si>
  <si>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</si>
  <si>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</si>
  <si>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</si>
  <si>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</si>
  <si>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</si>
  <si>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</si>
  <si>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</si>
  <si>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</si>
  <si>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</si>
  <si>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6GCELSIAALT</t>
  </si>
  <si>
    <t>6GCELSIABLM</t>
  </si>
  <si>
    <t>6GGENA</t>
  </si>
  <si>
    <t>6GGENPED</t>
  </si>
  <si>
    <t>6GJINRO</t>
  </si>
  <si>
    <t>6GLLSSOLP01</t>
  </si>
  <si>
    <t>6GLLSSOLP03</t>
  </si>
  <si>
    <t>6GLLSSOLP04</t>
  </si>
  <si>
    <t>6GMINERAPMA</t>
  </si>
  <si>
    <t>6GPANAM</t>
  </si>
  <si>
    <t>6GPEDREGAL</t>
  </si>
  <si>
    <t>6GPERLANORT</t>
  </si>
  <si>
    <t>6GPERLASUR</t>
  </si>
  <si>
    <t>6UACETIOX</t>
  </si>
  <si>
    <t>6UAMPASA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</si>
  <si>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</si>
  <si>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</si>
  <si>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</si>
  <si>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</si>
  <si>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</si>
  <si>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</si>
  <si>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</si>
  <si>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</si>
  <si>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</si>
  <si>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</si>
  <si>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</si>
  <si>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</si>
  <si>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</si>
  <si>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</si>
  <si>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</si>
  <si>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</si>
  <si>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</si>
  <si>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</si>
  <si>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</si>
  <si>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</si>
  <si>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6UMIT</t>
  </si>
  <si>
    <t>6UNESTLENATA</t>
  </si>
  <si>
    <t>6UNESTLEVILA</t>
  </si>
  <si>
    <t>6UPROCARSA</t>
  </si>
  <si>
    <t>6UPTPCGL</t>
  </si>
  <si>
    <t>6UPTPPSA</t>
  </si>
  <si>
    <t>6UPTPPSB</t>
  </si>
  <si>
    <t>6US99ALBRO</t>
  </si>
  <si>
    <t>6US99BGOLF</t>
  </si>
  <si>
    <t>6US99CHITR</t>
  </si>
  <si>
    <t>6US99COL2K</t>
  </si>
  <si>
    <t>6US99COSTE</t>
  </si>
  <si>
    <t>6US99DONA</t>
  </si>
  <si>
    <t>6US99FARO</t>
  </si>
  <si>
    <t>6US99PENON</t>
  </si>
  <si>
    <t>6US99PORTO</t>
  </si>
  <si>
    <t>6US99PTAPA</t>
  </si>
  <si>
    <t>6US99PZACA</t>
  </si>
  <si>
    <t>6US99PZAIT</t>
  </si>
  <si>
    <t>6US99PZATO</t>
  </si>
  <si>
    <t>6US99SANFR</t>
  </si>
  <si>
    <t>6US99SANTI</t>
  </si>
  <si>
    <t>6US99TMUER</t>
  </si>
  <si>
    <t>6US99VPORR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</si>
  <si>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</si>
  <si>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</si>
  <si>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</si>
  <si>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</si>
  <si>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</si>
  <si>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</si>
  <si>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</si>
  <si>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</si>
  <si>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</si>
  <si>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</si>
  <si>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</si>
  <si>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</si>
  <si>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</si>
  <si>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</si>
  <si>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</si>
  <si>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</si>
  <si>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</si>
  <si>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</si>
  <si>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</si>
  <si>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</si>
  <si>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</si>
  <si>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</si>
  <si>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</si>
  <si>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</si>
  <si>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</si>
  <si>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</si>
  <si>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</si>
  <si>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</si>
  <si>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</si>
  <si>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</si>
  <si>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</si>
  <si>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</si>
  <si>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</si>
  <si>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</si>
  <si>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</si>
  <si>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</si>
  <si>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</si>
  <si>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</si>
  <si>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</si>
  <si>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</si>
  <si>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</si>
  <si>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</si>
  <si>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</si>
  <si>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</si>
  <si>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</si>
  <si>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</si>
  <si>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</si>
  <si>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</si>
  <si>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</si>
  <si>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</si>
  <si>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</si>
  <si>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</si>
  <si>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</si>
  <si>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</si>
  <si>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</si>
  <si>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</si>
  <si>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</si>
  <si>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</si>
  <si>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</si>
  <si>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</si>
  <si>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</si>
  <si>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</si>
  <si>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</si>
  <si>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</si>
  <si>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</si>
  <si>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</si>
  <si>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</si>
  <si>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</si>
  <si>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</si>
  <si>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</si>
  <si>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</si>
  <si>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</si>
  <si>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</si>
  <si>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</si>
  <si>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</si>
  <si>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</si>
  <si>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</si>
  <si>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</si>
  <si>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</si>
  <si>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</si>
  <si>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</si>
  <si>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</si>
  <si>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</si>
  <si>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</si>
  <si>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</si>
  <si>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</si>
  <si>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</si>
  <si>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</si>
  <si>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</si>
  <si>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</si>
  <si>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</si>
  <si>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</si>
  <si>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</si>
  <si>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</si>
  <si>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</si>
  <si>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</si>
  <si>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</si>
  <si>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</si>
  <si>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</si>
  <si>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</si>
  <si>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</si>
  <si>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</si>
  <si>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</si>
  <si>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</si>
  <si>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</si>
  <si>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</si>
  <si>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</si>
  <si>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</si>
  <si>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</si>
  <si>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</si>
  <si>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</si>
  <si>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</si>
  <si>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</si>
  <si>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</si>
  <si>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</si>
  <si>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</si>
  <si>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</si>
  <si>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</si>
  <si>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</si>
  <si>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</si>
  <si>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</si>
  <si>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</si>
  <si>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</si>
  <si>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</si>
  <si>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</si>
  <si>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</si>
  <si>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</si>
  <si>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1GGDRCONSM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</si>
  <si>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</si>
  <si>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</si>
  <si>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</si>
  <si>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</si>
  <si>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</si>
  <si>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</si>
  <si>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</si>
  <si>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</si>
  <si>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1GGDRHIDCH</t>
  </si>
  <si>
    <t>1GGDRHIDMA</t>
  </si>
  <si>
    <t>1GGDRHIDRL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</si>
  <si>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</si>
  <si>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</si>
  <si>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</si>
  <si>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</si>
  <si>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</si>
  <si>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</si>
  <si>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</si>
  <si>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</si>
  <si>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</si>
  <si>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</si>
  <si>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</si>
  <si>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</si>
  <si>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</si>
  <si>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</si>
  <si>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</si>
  <si>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</si>
  <si>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</si>
  <si>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</si>
  <si>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</si>
  <si>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</si>
  <si>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</si>
  <si>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</si>
  <si>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</si>
  <si>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</si>
  <si>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</si>
  <si>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</si>
  <si>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</si>
  <si>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</si>
  <si>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</si>
  <si>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</si>
  <si>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</si>
  <si>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</si>
  <si>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</si>
  <si>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</si>
  <si>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</si>
  <si>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</si>
  <si>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</si>
  <si>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1GGENOXECO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</si>
  <si>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</si>
  <si>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</si>
  <si>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</si>
  <si>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</si>
  <si>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</si>
  <si>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</si>
  <si>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</si>
  <si>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</si>
  <si>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</si>
  <si>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</si>
  <si>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</si>
  <si>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</si>
  <si>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</si>
  <si>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</si>
  <si>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</si>
  <si>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</si>
  <si>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</si>
  <si>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</si>
  <si>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</si>
  <si>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</si>
  <si>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</si>
  <si>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</si>
  <si>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</si>
  <si>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</si>
  <si>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</si>
  <si>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</si>
  <si>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 xml:space="preserve">
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</si>
  <si>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</si>
  <si>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</si>
  <si>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</si>
  <si>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</si>
  <si>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</si>
  <si>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</si>
  <si>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</si>
  <si>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</si>
  <si>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</si>
  <si>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</si>
  <si>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</si>
  <si>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</si>
  <si>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</si>
  <si>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</si>
  <si>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</si>
  <si>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</si>
  <si>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</si>
  <si>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</si>
  <si>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</si>
  <si>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</si>
  <si>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</si>
  <si>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</si>
  <si>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</si>
  <si>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</si>
  <si>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</si>
  <si>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</si>
  <si>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Instituto Costarricense de Electricidad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</si>
  <si>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</si>
  <si>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</si>
  <si>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</si>
  <si>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</si>
  <si>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</si>
  <si>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</si>
  <si>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</si>
  <si>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</si>
  <si>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 xml:space="preserve">Empresa Nacional de Energía Eléctrica             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</si>
  <si>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</si>
  <si>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</si>
  <si>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</si>
  <si>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</si>
  <si>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</si>
  <si>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</si>
  <si>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</si>
  <si>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</si>
  <si>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</si>
  <si>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</si>
  <si>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</si>
  <si>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</si>
  <si>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</si>
  <si>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</si>
  <si>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</si>
  <si>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</si>
  <si>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</si>
  <si>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</si>
  <si>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</si>
  <si>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</si>
  <si>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</si>
  <si>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</si>
  <si>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PC (Factor de Compensación Semestral)</t>
  </si>
  <si>
    <t>CSMse (Compensación Semestral del MER)</t>
  </si>
  <si>
    <t>CMMs (Compensación mensual del MER)</t>
  </si>
  <si>
    <t>IARM</t>
  </si>
  <si>
    <t>CSMse</t>
  </si>
  <si>
    <t>CMMs</t>
  </si>
  <si>
    <t>6UF_CARIBE</t>
  </si>
  <si>
    <t>6UF_MILLER</t>
  </si>
  <si>
    <t>6UF_CHITRE</t>
  </si>
  <si>
    <t>6UF_STGO</t>
  </si>
  <si>
    <t>6UF_VLEGRE</t>
  </si>
  <si>
    <t>6UF_BIN90</t>
  </si>
  <si>
    <t>6UVH_DES</t>
  </si>
  <si>
    <t>6UF_CHORRE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</si>
  <si>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</si>
  <si>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</si>
  <si>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</si>
  <si>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</si>
  <si>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</si>
  <si>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</si>
  <si>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</si>
  <si>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1CCOMINVNA</t>
  </si>
  <si>
    <t>1GGENGENEP</t>
  </si>
  <si>
    <t>1GGENTRAEL</t>
  </si>
  <si>
    <t>6UVH_TOC</t>
  </si>
  <si>
    <t>6UNESTLELOMA</t>
  </si>
  <si>
    <t>1UGUSENRSW</t>
  </si>
  <si>
    <t>1UGUSENTRI</t>
  </si>
  <si>
    <t>6GACP</t>
  </si>
  <si>
    <t>6UECSA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</si>
  <si>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</si>
  <si>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</si>
  <si>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</si>
  <si>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</si>
  <si>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</si>
  <si>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</si>
  <si>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</si>
  <si>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</si>
  <si>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</si>
  <si>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</si>
  <si>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</si>
  <si>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</si>
  <si>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</si>
  <si>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</si>
  <si>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</si>
  <si>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</si>
  <si>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</si>
  <si>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</si>
  <si>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</si>
  <si>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</si>
  <si>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</si>
  <si>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</si>
  <si>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</si>
  <si>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</si>
  <si>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</si>
  <si>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>IAR AJUSTADO 2018
CRIE-72-2018</t>
  </si>
  <si>
    <t>IARMES AJUSTADO 2018
CRIE-72-2018</t>
  </si>
  <si>
    <t xml:space="preserve">IAR / 12
</t>
  </si>
  <si>
    <t>IARMES 
CRIE-72-2018</t>
  </si>
  <si>
    <t>DIFERENCIA</t>
  </si>
  <si>
    <t>6GCELSIABON</t>
  </si>
  <si>
    <t>6UMACELLO</t>
  </si>
  <si>
    <t>6UCHSF</t>
  </si>
  <si>
    <t>6UEAZUL427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</si>
  <si>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</si>
  <si>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</si>
  <si>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</si>
  <si>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</si>
  <si>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</si>
  <si>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</si>
  <si>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</si>
  <si>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</si>
  <si>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</si>
  <si>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</si>
  <si>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</si>
  <si>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</si>
  <si>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</si>
  <si>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</si>
  <si>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</si>
  <si>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</si>
  <si>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</si>
  <si>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</si>
  <si>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</si>
  <si>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</si>
  <si>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</si>
  <si>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6GTECNISOL1</t>
  </si>
  <si>
    <t>6GTECNISOL2</t>
  </si>
  <si>
    <t>6GTECNISOL3</t>
  </si>
  <si>
    <t>6GTECNISOL4</t>
  </si>
  <si>
    <t>1GGDRHIDRX</t>
  </si>
  <si>
    <t>1GGENOXEII</t>
  </si>
  <si>
    <t>1UGUSDARSA</t>
  </si>
  <si>
    <t>1UGUSINGTU</t>
  </si>
  <si>
    <t>5B</t>
  </si>
  <si>
    <t>5A</t>
  </si>
  <si>
    <t>2C_C51</t>
  </si>
  <si>
    <t>1GGDRAGLAE</t>
  </si>
  <si>
    <t>1GGENESIES</t>
  </si>
  <si>
    <t>6GEGEISTMO</t>
  </si>
  <si>
    <t>6UCWDORADO</t>
  </si>
  <si>
    <t>6UCWRABAJO</t>
  </si>
  <si>
    <t>6UPASCUAL</t>
  </si>
  <si>
    <t>6UCWCOLON</t>
  </si>
  <si>
    <t>6UENSA_CV</t>
  </si>
  <si>
    <t>6UCWJFRA1</t>
  </si>
  <si>
    <t>6UCWSFRAN</t>
  </si>
  <si>
    <t>6UCWHOPA</t>
  </si>
  <si>
    <t>6UXELCOCO</t>
  </si>
  <si>
    <t>6GHTERIBE</t>
  </si>
  <si>
    <t>6UGLION</t>
  </si>
  <si>
    <t>6UARCE_AV</t>
  </si>
  <si>
    <t>6UCADASA</t>
  </si>
  <si>
    <t>6UCEMINTER2</t>
  </si>
  <si>
    <t>1TTRATRENC</t>
  </si>
  <si>
    <t>IAR AJUSTADO 2018
CRIE-85-2018</t>
  </si>
  <si>
    <t>IARMES 
CRIE-85-2018</t>
  </si>
  <si>
    <t>Monto facturado 72-2018</t>
  </si>
  <si>
    <t>IARMES AJUSTADO 2018
CRIE-85-2018</t>
  </si>
  <si>
    <t>Monto pagado hasta septiembre 2018</t>
  </si>
  <si>
    <t>MONTO FACTURADO DE ENERO A JULIO 2018</t>
  </si>
  <si>
    <t>MONTO PENDIENTE DE FACTURAR INCLUYENDO EL AJUSTE DE AGOSTO A DICIEMBRE 2018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</si>
  <si>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</si>
  <si>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</si>
  <si>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</si>
  <si>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</si>
  <si>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</si>
  <si>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</si>
  <si>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</si>
  <si>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</si>
  <si>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</si>
  <si>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</si>
  <si>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</si>
  <si>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</si>
  <si>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1GGENESAES</t>
  </si>
  <si>
    <t>CMMp,s (Compensación mensual del MER por país)</t>
  </si>
  <si>
    <t>Pais</t>
  </si>
  <si>
    <t>CARN_NO_RESpnr,s</t>
  </si>
  <si>
    <t>6GCALDERA</t>
  </si>
  <si>
    <t>6GHCAISAN</t>
  </si>
  <si>
    <t>6UMAZUL</t>
  </si>
  <si>
    <t>6UMED12OC</t>
  </si>
  <si>
    <t>6UMEDCBAN</t>
  </si>
  <si>
    <t>6UMARRIOTT</t>
  </si>
  <si>
    <t>6UF_PNOME</t>
  </si>
  <si>
    <t>6UORONORTE</t>
  </si>
  <si>
    <t>6USCARVALG</t>
  </si>
  <si>
    <t>6USCARPME</t>
  </si>
  <si>
    <t>6USCARCLLAN</t>
  </si>
  <si>
    <t>6UHWYND_AB</t>
  </si>
  <si>
    <r>
      <t>CARN</t>
    </r>
    <r>
      <rPr>
        <b/>
        <vertAlign val="subscript"/>
        <sz val="11"/>
        <color rgb="FF000000"/>
        <rFont val="Calibri"/>
        <family val="2"/>
      </rPr>
      <t>RESpr,s</t>
    </r>
  </si>
  <si>
    <t>Costos Asociados a las Restricciones Nacionales (Resolución CRIE-112-2018) ($US)</t>
  </si>
  <si>
    <t>IAR ANUAL 2019
(Resolución CRIE-99-2018)</t>
  </si>
  <si>
    <t>IAR 2019
CRIE-99-2018</t>
  </si>
  <si>
    <t>6UDOITDOR</t>
  </si>
  <si>
    <t>6UCMATTM</t>
  </si>
  <si>
    <t>6UHAMEGLIO</t>
  </si>
  <si>
    <t>6UHRIANTOC</t>
  </si>
  <si>
    <t>6UPOTMEN</t>
  </si>
  <si>
    <t>2C_C61</t>
  </si>
  <si>
    <t>2G_G13</t>
  </si>
  <si>
    <t>2G_G14</t>
  </si>
  <si>
    <t>1GGENHIDCA</t>
  </si>
  <si>
    <t>1GGENINGSD</t>
  </si>
  <si>
    <t>1GGENINVPA</t>
  </si>
  <si>
    <t>1TTRATEEDN</t>
  </si>
  <si>
    <t>6USORTIS3</t>
  </si>
  <si>
    <t>6UDIGIPMA</t>
  </si>
  <si>
    <t>6UMIRAMAR</t>
  </si>
  <si>
    <t>6UCROWPMA</t>
  </si>
  <si>
    <t>6UHPBONITA</t>
  </si>
  <si>
    <t>6UHHINN</t>
  </si>
  <si>
    <t>6UPROLUX</t>
  </si>
  <si>
    <t>6ULEMERID</t>
  </si>
  <si>
    <t>6UHBUENAV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</si>
  <si>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</si>
  <si>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</si>
  <si>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</si>
  <si>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</si>
  <si>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</si>
  <si>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</si>
  <si>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</si>
  <si>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</si>
  <si>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</si>
  <si>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</si>
  <si>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</si>
  <si>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</si>
  <si>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</si>
  <si>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</si>
  <si>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</si>
  <si>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</si>
  <si>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</si>
  <si>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</si>
  <si>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</si>
  <si>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</si>
  <si>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</si>
  <si>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</si>
  <si>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</si>
  <si>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</si>
  <si>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</si>
  <si>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</si>
  <si>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</si>
  <si>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</si>
  <si>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</si>
  <si>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</si>
  <si>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</si>
  <si>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</si>
  <si>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</si>
  <si>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</si>
  <si>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</si>
  <si>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</si>
  <si>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1GGDRHIDSA</t>
  </si>
  <si>
    <t>1GGENHIDRA</t>
  </si>
  <si>
    <t>1GGENINPAG</t>
  </si>
  <si>
    <t>1TTRATRENR</t>
  </si>
  <si>
    <t>CÁLCULO DE TARIFAS PARA EL CARGO COMPLEMENTARIO SEGÚN  Resolución CRIE-31-2018, CRIE-112-2018 y CRIE-26-2019.</t>
  </si>
  <si>
    <t>IARMES 2019
CRIE-99-2018</t>
  </si>
  <si>
    <t>6GUEPPME2</t>
  </si>
  <si>
    <t>6URSAPLAZA</t>
  </si>
  <si>
    <t>6UINDTOC</t>
  </si>
  <si>
    <t>6UVMERCA</t>
  </si>
  <si>
    <t>6UPECCOLA63</t>
  </si>
  <si>
    <t>6UCINEPDOR</t>
  </si>
  <si>
    <t>6UCINEMMALL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</si>
  <si>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</si>
  <si>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</si>
  <si>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</si>
  <si>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</si>
  <si>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</si>
  <si>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</si>
  <si>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</si>
  <si>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</si>
  <si>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</si>
  <si>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</si>
  <si>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1GGDRPUNCI   </t>
  </si>
  <si>
    <t>1GGENCOELL</t>
  </si>
  <si>
    <t>1GGENTECNO</t>
  </si>
  <si>
    <t>6GHBOQUERON</t>
  </si>
  <si>
    <t>6GUEPPME1</t>
  </si>
  <si>
    <t>6GDESHIDCORP</t>
  </si>
  <si>
    <t>6UDOITALB</t>
  </si>
  <si>
    <t>6UDOITCHI</t>
  </si>
  <si>
    <t>6UDOITWES</t>
  </si>
  <si>
    <t>6UEBELL</t>
  </si>
  <si>
    <t>6UFGALERIA</t>
  </si>
  <si>
    <t>6UFINCENT</t>
  </si>
  <si>
    <t>6UHOSPNAC</t>
  </si>
  <si>
    <t>6UHPROPERT</t>
  </si>
  <si>
    <t>6UHSMARIA</t>
  </si>
  <si>
    <t>6UHCARIBE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</si>
  <si>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</si>
  <si>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</si>
  <si>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</si>
  <si>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</si>
  <si>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</si>
  <si>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</si>
  <si>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</si>
  <si>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</si>
  <si>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r>
      <t>CARN_RES</t>
    </r>
    <r>
      <rPr>
        <vertAlign val="subscript"/>
        <sz val="11"/>
        <color rgb="FF000000"/>
        <rFont val="Calibri"/>
        <family val="2"/>
      </rPr>
      <t>pr</t>
    </r>
  </si>
  <si>
    <t>CARN_RESpr:</t>
  </si>
  <si>
    <t>Costo Asociado a restricciones nacionales del país responsable "pr", acumulado semestral, es decir; de enero a junio o de julio a diciembre</t>
  </si>
  <si>
    <t>Período del CARN_RESpr:</t>
  </si>
  <si>
    <t>24 de diciembre 2018 al 30 de junio del 2019,  en conformidad a Resuelve TERCERO de la Resolución CRIE-112-2018.</t>
  </si>
  <si>
    <t>**Diferencia que será registrada en la CGC (CRIE-NP-112-2018)</t>
  </si>
  <si>
    <r>
      <t>∑Demanda_de_país_</t>
    </r>
    <r>
      <rPr>
        <b/>
        <vertAlign val="subscript"/>
        <sz val="11"/>
        <color rgb="FF000000"/>
        <rFont val="Calibri"/>
        <family val="2"/>
      </rPr>
      <t>pnr,s</t>
    </r>
  </si>
  <si>
    <t>6UANCON_ENT</t>
  </si>
  <si>
    <t>6UBPARK</t>
  </si>
  <si>
    <t>6UBWESTD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</si>
  <si>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</si>
  <si>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</si>
  <si>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</si>
  <si>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</si>
  <si>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</si>
  <si>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</si>
  <si>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</si>
  <si>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</si>
  <si>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</si>
  <si>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</si>
  <si>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</si>
  <si>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</si>
  <si>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</si>
  <si>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</si>
  <si>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6GEISA</t>
  </si>
  <si>
    <t>6GENERGYST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</si>
  <si>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</si>
  <si>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</si>
  <si>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</si>
  <si>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</si>
  <si>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</si>
  <si>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</si>
  <si>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</si>
  <si>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</si>
  <si>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</si>
  <si>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</si>
  <si>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</si>
  <si>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</si>
  <si>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</si>
  <si>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</si>
  <si>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</si>
  <si>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</si>
  <si>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</si>
  <si>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</si>
  <si>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</si>
  <si>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</si>
  <si>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</si>
  <si>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</si>
  <si>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</si>
  <si>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</si>
  <si>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</si>
  <si>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</si>
  <si>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6UF_ZAITA</t>
  </si>
  <si>
    <t>6UHCENTR72</t>
  </si>
  <si>
    <t>6UHCONT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</si>
  <si>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</si>
  <si>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</si>
  <si>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</si>
  <si>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</si>
  <si>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</si>
  <si>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</si>
  <si>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</si>
  <si>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</si>
  <si>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</si>
  <si>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</si>
  <si>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</si>
  <si>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</si>
  <si>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</si>
  <si>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</si>
  <si>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</si>
  <si>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</si>
  <si>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</si>
  <si>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</si>
  <si>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6UPLASTIG25</t>
  </si>
  <si>
    <t>6UPROMDORADO</t>
  </si>
  <si>
    <t>6UPROSERV97</t>
  </si>
  <si>
    <t>6URETCEN</t>
  </si>
  <si>
    <t>6USORTIS</t>
  </si>
  <si>
    <t>6UTZANETATOS</t>
  </si>
  <si>
    <t>6UVIVUNIDOS</t>
  </si>
  <si>
    <t>6UXPNOME</t>
  </si>
  <si>
    <t>4Uhme</t>
  </si>
  <si>
    <t>2C_C66</t>
  </si>
  <si>
    <t>1GGENAGENA</t>
  </si>
  <si>
    <t>1GGENBIOEN</t>
  </si>
  <si>
    <t>1GGENINGUN</t>
  </si>
  <si>
    <t>4UHME</t>
  </si>
  <si>
    <t>DTER: AGOSTO 2019</t>
  </si>
  <si>
    <t>DEMANDA: JULIO 2019</t>
  </si>
  <si>
    <t>6UACMARRI97</t>
  </si>
  <si>
    <t>6UCARCOC74</t>
  </si>
  <si>
    <t>6GFORTUNA</t>
  </si>
  <si>
    <t>6UHCOURTY00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</si>
  <si>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</si>
  <si>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</si>
  <si>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</si>
  <si>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</si>
  <si>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</si>
  <si>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</si>
  <si>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</si>
  <si>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</si>
  <si>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</si>
  <si>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6UMETROMALL</t>
  </si>
  <si>
    <t>6UPROMGTOWER</t>
  </si>
  <si>
    <t>1CCOMCOMCO</t>
  </si>
  <si>
    <t>1GGENENSAJ</t>
  </si>
  <si>
    <t>1GGENPANTA</t>
  </si>
  <si>
    <t>CARGO COMPLEMENTARIO: JULIO 2019</t>
  </si>
  <si>
    <t>SCGCse-1 (al 30 de junio 2019)</t>
  </si>
  <si>
    <t>SCGCse-1
(al 30 de junio 2019)</t>
  </si>
  <si>
    <t>CARGO COMPLEMENTARIO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</si>
</sst>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0.000000%"/>
    <numFmt numFmtId="178" formatCode="[$$-540A]#,##0.00"/>
    <numFmt numFmtId="179" formatCode="0.0000"/>
    <numFmt numFmtId="180" formatCode="0.000000000000"/>
    <numFmt numFmtId="181" formatCode="0.00000000"/>
    <numFmt numFmtId="182" formatCode="#,##0.0000000000000000"/>
    <numFmt numFmtId="183" formatCode="#,##0.00000000000000"/>
    <numFmt numFmtId="184" formatCode="#,##0.000000000000"/>
    <numFmt numFmtId="185" formatCode="_-* #,##0.0000_-;\-* #,##0.0000_-;_-* &quot;-&quot;??_-;_-@_-"/>
    <numFmt numFmtId="186" formatCode="_-* #,##0.0000000_-;\-* #,##0.0000000_-;_-* &quot;-&quot;??_-;_-@_-"/>
    <numFmt numFmtId="187" formatCode="#,##0.0_ ;\-#,##0.0\ "/>
    <numFmt numFmtId="188" formatCode="#,##0.00_ ;\-#,##0.00\ "/>
    <numFmt numFmtId="189" formatCode="0.00000000000"/>
    <numFmt numFmtId="190" formatCode="#,##0.00000"/>
  </numFmts>
  <fonts count="4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sz val="10"/>
      <name val="Tahoma"/>
      <family val="2"/>
    </font>
  </fonts>
  <fills count="5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4">
    <xf numFmtId="0" fontId="0" fillId="0" borderId="0"/>
    <xf numFmtId="0" fontId="22" fillId="0" borderId="63" applyNumberFormat="0" applyFill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8" fillId="17" borderId="66" applyNumberFormat="0" applyAlignment="0" applyProtection="0"/>
    <xf numFmtId="0" fontId="29" fillId="18" borderId="67" applyNumberFormat="0" applyAlignment="0" applyProtection="0"/>
    <xf numFmtId="0" fontId="30" fillId="18" borderId="66" applyNumberFormat="0" applyAlignment="0" applyProtection="0"/>
    <xf numFmtId="0" fontId="31" fillId="0" borderId="68" applyNumberFormat="0" applyFill="0" applyAlignment="0" applyProtection="0"/>
    <xf numFmtId="0" fontId="32" fillId="19" borderId="69" applyNumberFormat="0" applyAlignment="0" applyProtection="0"/>
    <xf numFmtId="0" fontId="35" fillId="0" borderId="71" applyNumberFormat="0" applyFill="0" applyAlignment="0" applyProtection="0"/>
    <xf numFmtId="0" fontId="1" fillId="0" borderId="16"/>
    <xf numFmtId="0" fontId="21" fillId="0" borderId="16" applyNumberFormat="0" applyFill="0" applyBorder="0" applyAlignment="0" applyProtection="0"/>
    <xf numFmtId="0" fontId="24" fillId="0" borderId="16" applyNumberFormat="0" applyFill="0" applyBorder="0" applyAlignment="0" applyProtection="0"/>
    <xf numFmtId="0" fontId="25" fillId="14" borderId="16" applyNumberFormat="0" applyBorder="0" applyAlignment="0" applyProtection="0"/>
    <xf numFmtId="0" fontId="26" fillId="15" borderId="16" applyNumberFormat="0" applyBorder="0" applyAlignment="0" applyProtection="0"/>
    <xf numFmtId="0" fontId="27" fillId="16" borderId="16" applyNumberFormat="0" applyBorder="0" applyAlignment="0" applyProtection="0"/>
    <xf numFmtId="0" fontId="33" fillId="0" borderId="16" applyNumberFormat="0" applyFill="0" applyBorder="0" applyAlignment="0" applyProtection="0"/>
    <xf numFmtId="0" fontId="1" fillId="20" borderId="70" applyNumberFormat="0" applyFont="0" applyAlignment="0" applyProtection="0"/>
    <xf numFmtId="0" fontId="34" fillId="0" borderId="16" applyNumberFormat="0" applyFill="0" applyBorder="0" applyAlignment="0" applyProtection="0"/>
    <xf numFmtId="0" fontId="36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6" fillId="24" borderId="16" applyNumberFormat="0" applyBorder="0" applyAlignment="0" applyProtection="0"/>
    <xf numFmtId="0" fontId="36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6" fillId="28" borderId="16" applyNumberFormat="0" applyBorder="0" applyAlignment="0" applyProtection="0"/>
    <xf numFmtId="0" fontId="36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6" fillId="32" borderId="16" applyNumberFormat="0" applyBorder="0" applyAlignment="0" applyProtection="0"/>
    <xf numFmtId="0" fontId="36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6" fillId="36" borderId="16" applyNumberFormat="0" applyBorder="0" applyAlignment="0" applyProtection="0"/>
    <xf numFmtId="0" fontId="36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6" fillId="40" borderId="16" applyNumberFormat="0" applyBorder="0" applyAlignment="0" applyProtection="0"/>
    <xf numFmtId="0" fontId="36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6" fillId="44" borderId="16" applyNumberFormat="0" applyBorder="0" applyAlignment="0" applyProtection="0"/>
    <xf numFmtId="9" fontId="38" fillId="0" borderId="0" applyFont="0" applyFill="0" applyBorder="0" applyAlignment="0" applyProtection="0"/>
  </cellStyleXfs>
  <cellXfs count="438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12" xfId="0" applyNumberFormat="1" applyFont="1" applyBorder="1"/>
    <xf numFmtId="165" fontId="0" fillId="0" borderId="0" xfId="0" applyNumberFormat="1" applyFont="1" applyAlignment="1">
      <alignment horizontal="right"/>
    </xf>
    <xf numFmtId="166" fontId="0" fillId="0" borderId="12" xfId="0" applyNumberFormat="1" applyFont="1" applyBorder="1"/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6" fontId="7" fillId="4" borderId="9" xfId="0" applyNumberFormat="1" applyFont="1" applyFill="1" applyBorder="1"/>
    <xf numFmtId="169" fontId="7" fillId="5" borderId="14" xfId="0" applyNumberFormat="1" applyFont="1" applyFill="1" applyBorder="1"/>
    <xf numFmtId="167" fontId="7" fillId="5" borderId="9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2" fontId="0" fillId="8" borderId="16" xfId="0" applyNumberFormat="1" applyFont="1" applyFill="1" applyBorder="1"/>
    <xf numFmtId="171" fontId="0" fillId="8" borderId="16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167" fontId="10" fillId="3" borderId="22" xfId="0" applyNumberFormat="1" applyFont="1" applyFill="1" applyBorder="1"/>
    <xf numFmtId="173" fontId="10" fillId="3" borderId="22" xfId="0" applyNumberFormat="1" applyFont="1" applyFill="1" applyBorder="1"/>
    <xf numFmtId="165" fontId="10" fillId="3" borderId="23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165" fontId="10" fillId="3" borderId="2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10" borderId="26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0" fillId="0" borderId="27" xfId="0" applyFont="1" applyBorder="1"/>
    <xf numFmtId="0" fontId="12" fillId="10" borderId="28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0" fillId="0" borderId="29" xfId="0" applyFont="1" applyBorder="1"/>
    <xf numFmtId="0" fontId="3" fillId="10" borderId="30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0" fontId="3" fillId="10" borderId="35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0" borderId="9" xfId="0" applyFont="1" applyBorder="1" applyAlignment="1">
      <alignment horizontal="center" vertical="center"/>
    </xf>
    <xf numFmtId="0" fontId="0" fillId="4" borderId="30" xfId="0" applyFont="1" applyFill="1" applyBorder="1"/>
    <xf numFmtId="0" fontId="0" fillId="4" borderId="20" xfId="0" applyFont="1" applyFill="1" applyBorder="1"/>
    <xf numFmtId="166" fontId="0" fillId="4" borderId="39" xfId="0" applyNumberFormat="1" applyFont="1" applyFill="1" applyBorder="1" applyAlignment="1">
      <alignment horizontal="right"/>
    </xf>
    <xf numFmtId="166" fontId="0" fillId="4" borderId="20" xfId="0" applyNumberFormat="1" applyFont="1" applyFill="1" applyBorder="1" applyAlignment="1">
      <alignment horizontal="right"/>
    </xf>
    <xf numFmtId="166" fontId="0" fillId="4" borderId="40" xfId="0" applyNumberFormat="1" applyFont="1" applyFill="1" applyBorder="1" applyAlignment="1">
      <alignment horizontal="right"/>
    </xf>
    <xf numFmtId="166" fontId="0" fillId="4" borderId="26" xfId="0" applyNumberFormat="1" applyFont="1" applyFill="1" applyBorder="1" applyAlignment="1">
      <alignment horizontal="right"/>
    </xf>
    <xf numFmtId="166" fontId="0" fillId="4" borderId="20" xfId="0" applyNumberFormat="1" applyFont="1" applyFill="1" applyBorder="1"/>
    <xf numFmtId="0" fontId="0" fillId="4" borderId="40" xfId="0" applyFont="1" applyFill="1" applyBorder="1"/>
    <xf numFmtId="0" fontId="0" fillId="4" borderId="31" xfId="0" applyFont="1" applyFill="1" applyBorder="1"/>
    <xf numFmtId="0" fontId="0" fillId="0" borderId="0" xfId="0" applyFont="1" applyAlignment="1">
      <alignment horizontal="left"/>
    </xf>
    <xf numFmtId="0" fontId="0" fillId="8" borderId="9" xfId="0" applyFont="1" applyFill="1" applyBorder="1"/>
    <xf numFmtId="175" fontId="0" fillId="6" borderId="9" xfId="0" applyNumberFormat="1" applyFont="1" applyFill="1" applyBorder="1"/>
    <xf numFmtId="37" fontId="4" fillId="0" borderId="9" xfId="0" applyNumberFormat="1" applyFont="1" applyBorder="1"/>
    <xf numFmtId="37" fontId="16" fillId="0" borderId="0" xfId="0" applyNumberFormat="1" applyFont="1"/>
    <xf numFmtId="0" fontId="0" fillId="4" borderId="39" xfId="0" applyFont="1" applyFill="1" applyBorder="1"/>
    <xf numFmtId="0" fontId="0" fillId="4" borderId="26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8" xfId="0" applyFont="1" applyFill="1" applyBorder="1"/>
    <xf numFmtId="166" fontId="0" fillId="4" borderId="16" xfId="0" applyNumberFormat="1" applyFont="1" applyFill="1" applyBorder="1"/>
    <xf numFmtId="166" fontId="0" fillId="4" borderId="26" xfId="0" applyNumberFormat="1" applyFont="1" applyFill="1" applyBorder="1"/>
    <xf numFmtId="166" fontId="0" fillId="4" borderId="28" xfId="0" applyNumberFormat="1" applyFont="1" applyFill="1" applyBorder="1"/>
    <xf numFmtId="166" fontId="12" fillId="8" borderId="16" xfId="0" applyNumberFormat="1" applyFont="1" applyFill="1" applyBorder="1"/>
    <xf numFmtId="0" fontId="17" fillId="3" borderId="41" xfId="0" applyFont="1" applyFill="1" applyBorder="1" applyAlignment="1">
      <alignment horizontal="center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2" xfId="0" applyFont="1" applyFill="1" applyBorder="1"/>
    <xf numFmtId="0" fontId="0" fillId="4" borderId="33" xfId="0" applyFont="1" applyFill="1" applyBorder="1"/>
    <xf numFmtId="173" fontId="17" fillId="3" borderId="42" xfId="0" applyNumberFormat="1" applyFont="1" applyFill="1" applyBorder="1" applyAlignment="1">
      <alignment horizontal="right"/>
    </xf>
    <xf numFmtId="166" fontId="0" fillId="4" borderId="34" xfId="0" applyNumberFormat="1" applyFont="1" applyFill="1" applyBorder="1" applyAlignment="1">
      <alignment horizontal="right"/>
    </xf>
    <xf numFmtId="165" fontId="17" fillId="3" borderId="43" xfId="0" applyNumberFormat="1" applyFont="1" applyFill="1" applyBorder="1" applyAlignment="1">
      <alignment horizontal="right"/>
    </xf>
    <xf numFmtId="0" fontId="10" fillId="3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 vertical="center" wrapText="1"/>
    </xf>
    <xf numFmtId="0" fontId="10" fillId="3" borderId="42" xfId="0" applyFont="1" applyFill="1" applyBorder="1"/>
    <xf numFmtId="167" fontId="10" fillId="3" borderId="42" xfId="0" applyNumberFormat="1" applyFont="1" applyFill="1" applyBorder="1"/>
    <xf numFmtId="173" fontId="10" fillId="3" borderId="22" xfId="0" applyNumberFormat="1" applyFont="1" applyFill="1" applyBorder="1" applyAlignment="1">
      <alignment horizontal="right"/>
    </xf>
    <xf numFmtId="0" fontId="11" fillId="4" borderId="9" xfId="0" applyFont="1" applyFill="1" applyBorder="1"/>
    <xf numFmtId="0" fontId="0" fillId="0" borderId="0" xfId="0" applyFont="1" applyAlignment="1">
      <alignment horizontal="right"/>
    </xf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74" fontId="11" fillId="4" borderId="26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4" fontId="0" fillId="0" borderId="0" xfId="0" applyNumberFormat="1" applyFont="1" applyAlignment="1">
      <alignment horizontal="right"/>
    </xf>
    <xf numFmtId="166" fontId="11" fillId="4" borderId="9" xfId="0" applyNumberFormat="1" applyFont="1" applyFill="1" applyBorder="1"/>
    <xf numFmtId="166" fontId="3" fillId="8" borderId="16" xfId="0" applyNumberFormat="1" applyFont="1" applyFill="1" applyBorder="1"/>
    <xf numFmtId="0" fontId="0" fillId="8" borderId="26" xfId="0" applyFont="1" applyFill="1" applyBorder="1"/>
    <xf numFmtId="175" fontId="0" fillId="0" borderId="0" xfId="0" applyNumberFormat="1" applyFont="1"/>
    <xf numFmtId="0" fontId="0" fillId="12" borderId="20" xfId="0" applyFont="1" applyFill="1" applyBorder="1"/>
    <xf numFmtId="37" fontId="0" fillId="12" borderId="40" xfId="0" applyNumberFormat="1" applyFont="1" applyFill="1" applyBorder="1"/>
    <xf numFmtId="166" fontId="0" fillId="12" borderId="3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/>
    <xf numFmtId="37" fontId="0" fillId="6" borderId="9" xfId="0" applyNumberFormat="1" applyFont="1" applyFill="1" applyBorder="1"/>
    <xf numFmtId="0" fontId="0" fillId="12" borderId="26" xfId="0" applyFont="1" applyFill="1" applyBorder="1"/>
    <xf numFmtId="3" fontId="0" fillId="12" borderId="16" xfId="0" applyNumberFormat="1" applyFont="1" applyFill="1" applyBorder="1"/>
    <xf numFmtId="166" fontId="0" fillId="12" borderId="39" xfId="0" applyNumberFormat="1" applyFont="1" applyFill="1" applyBorder="1" applyAlignment="1">
      <alignment horizontal="right"/>
    </xf>
    <xf numFmtId="166" fontId="0" fillId="12" borderId="34" xfId="0" applyNumberFormat="1" applyFont="1" applyFill="1" applyBorder="1" applyAlignment="1">
      <alignment horizontal="right"/>
    </xf>
    <xf numFmtId="166" fontId="0" fillId="12" borderId="26" xfId="0" applyNumberFormat="1" applyFont="1" applyFill="1" applyBorder="1"/>
    <xf numFmtId="166" fontId="0" fillId="12" borderId="34" xfId="0" applyNumberFormat="1" applyFont="1" applyFill="1" applyBorder="1"/>
    <xf numFmtId="166" fontId="0" fillId="12" borderId="26" xfId="0" applyNumberFormat="1" applyFont="1" applyFill="1" applyBorder="1" applyAlignment="1">
      <alignment horizontal="right"/>
    </xf>
    <xf numFmtId="3" fontId="0" fillId="12" borderId="40" xfId="0" applyNumberFormat="1" applyFont="1" applyFill="1" applyBorder="1"/>
    <xf numFmtId="0" fontId="0" fillId="12" borderId="40" xfId="0" applyFont="1" applyFill="1" applyBorder="1"/>
    <xf numFmtId="0" fontId="0" fillId="12" borderId="31" xfId="0" applyFont="1" applyFill="1" applyBorder="1"/>
    <xf numFmtId="0" fontId="10" fillId="3" borderId="44" xfId="0" applyFont="1" applyFill="1" applyBorder="1" applyAlignment="1">
      <alignment horizontal="center" vertical="center" wrapText="1"/>
    </xf>
    <xf numFmtId="0" fontId="10" fillId="3" borderId="44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8" xfId="0" applyFont="1" applyFill="1" applyBorder="1"/>
    <xf numFmtId="167" fontId="10" fillId="3" borderId="44" xfId="0" applyNumberFormat="1" applyFont="1" applyFill="1" applyBorder="1"/>
    <xf numFmtId="173" fontId="10" fillId="3" borderId="44" xfId="0" applyNumberFormat="1" applyFont="1" applyFill="1" applyBorder="1" applyAlignment="1">
      <alignment horizontal="right"/>
    </xf>
    <xf numFmtId="165" fontId="10" fillId="3" borderId="4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76" fontId="17" fillId="3" borderId="42" xfId="0" applyNumberFormat="1" applyFont="1" applyFill="1" applyBorder="1" applyAlignment="1">
      <alignment horizontal="right"/>
    </xf>
    <xf numFmtId="0" fontId="0" fillId="3" borderId="42" xfId="0" applyFont="1" applyFill="1" applyBorder="1" applyAlignment="1">
      <alignment wrapText="1"/>
    </xf>
    <xf numFmtId="0" fontId="0" fillId="12" borderId="34" xfId="0" applyFont="1" applyFill="1" applyBorder="1"/>
    <xf numFmtId="0" fontId="0" fillId="12" borderId="46" xfId="0" applyFont="1" applyFill="1" applyBorder="1"/>
    <xf numFmtId="0" fontId="0" fillId="12" borderId="35" xfId="0" applyFont="1" applyFill="1" applyBorder="1"/>
    <xf numFmtId="3" fontId="0" fillId="12" borderId="26" xfId="0" applyNumberFormat="1" applyFont="1" applyFill="1" applyBorder="1" applyAlignment="1">
      <alignment horizontal="right"/>
    </xf>
    <xf numFmtId="166" fontId="0" fillId="12" borderId="35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20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71" fontId="10" fillId="3" borderId="22" xfId="0" applyNumberFormat="1" applyFont="1" applyFill="1" applyBorder="1" applyAlignment="1">
      <alignment horizontal="right"/>
    </xf>
    <xf numFmtId="166" fontId="11" fillId="12" borderId="14" xfId="0" applyNumberFormat="1" applyFont="1" applyFill="1" applyBorder="1"/>
    <xf numFmtId="165" fontId="10" fillId="3" borderId="23" xfId="0" applyNumberFormat="1" applyFont="1" applyFill="1" applyBorder="1" applyAlignment="1">
      <alignment horizontal="right"/>
    </xf>
    <xf numFmtId="166" fontId="11" fillId="12" borderId="15" xfId="0" applyNumberFormat="1" applyFont="1" applyFill="1" applyBorder="1"/>
    <xf numFmtId="178" fontId="0" fillId="0" borderId="0" xfId="0" applyNumberFormat="1" applyFont="1"/>
    <xf numFmtId="0" fontId="11" fillId="0" borderId="2" xfId="0" applyFont="1" applyBorder="1" applyAlignment="1">
      <alignment horizontal="right"/>
    </xf>
    <xf numFmtId="171" fontId="10" fillId="3" borderId="9" xfId="0" applyNumberFormat="1" applyFont="1" applyFill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79" fontId="0" fillId="0" borderId="0" xfId="0" applyNumberFormat="1" applyFont="1"/>
    <xf numFmtId="167" fontId="12" fillId="0" borderId="0" xfId="0" applyNumberFormat="1" applyFont="1"/>
    <xf numFmtId="180" fontId="0" fillId="0" borderId="0" xfId="0" applyNumberFormat="1" applyFont="1"/>
    <xf numFmtId="2" fontId="0" fillId="0" borderId="0" xfId="0" applyNumberFormat="1" applyFont="1"/>
    <xf numFmtId="0" fontId="0" fillId="8" borderId="16" xfId="0" applyFont="1" applyFill="1" applyBorder="1" applyAlignment="1">
      <alignment horizontal="right"/>
    </xf>
    <xf numFmtId="37" fontId="0" fillId="0" borderId="0" xfId="0" applyNumberFormat="1" applyFont="1"/>
    <xf numFmtId="169" fontId="18" fillId="4" borderId="13" xfId="0" applyNumberFormat="1" applyFont="1" applyFill="1" applyBorder="1" applyAlignment="1">
      <alignment horizontal="center"/>
    </xf>
    <xf numFmtId="169" fontId="18" fillId="4" borderId="9" xfId="0" applyNumberFormat="1" applyFont="1" applyFill="1" applyBorder="1" applyAlignment="1">
      <alignment horizontal="center"/>
    </xf>
    <xf numFmtId="169" fontId="18" fillId="4" borderId="14" xfId="0" applyNumberFormat="1" applyFont="1" applyFill="1" applyBorder="1" applyAlignment="1">
      <alignment horizontal="center"/>
    </xf>
    <xf numFmtId="0" fontId="16" fillId="0" borderId="0" xfId="0" applyFont="1"/>
    <xf numFmtId="169" fontId="18" fillId="12" borderId="13" xfId="0" applyNumberFormat="1" applyFont="1" applyFill="1" applyBorder="1" applyAlignment="1">
      <alignment horizontal="center"/>
    </xf>
    <xf numFmtId="169" fontId="18" fillId="12" borderId="9" xfId="0" applyNumberFormat="1" applyFont="1" applyFill="1" applyBorder="1" applyAlignment="1">
      <alignment horizontal="center"/>
    </xf>
    <xf numFmtId="169" fontId="19" fillId="0" borderId="2" xfId="0" applyNumberFormat="1" applyFont="1" applyBorder="1" applyAlignment="1">
      <alignment horizontal="center"/>
    </xf>
    <xf numFmtId="169" fontId="19" fillId="0" borderId="9" xfId="0" applyNumberFormat="1" applyFont="1" applyBorder="1" applyAlignment="1">
      <alignment horizontal="center"/>
    </xf>
    <xf numFmtId="169" fontId="19" fillId="0" borderId="4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165" fontId="11" fillId="8" borderId="16" xfId="0" applyNumberFormat="1" applyFont="1" applyFill="1" applyBorder="1"/>
    <xf numFmtId="165" fontId="0" fillId="8" borderId="16" xfId="0" applyNumberFormat="1" applyFont="1" applyFill="1" applyBorder="1"/>
    <xf numFmtId="181" fontId="0" fillId="0" borderId="0" xfId="0" applyNumberFormat="1" applyFont="1"/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169" fontId="17" fillId="3" borderId="4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8" xfId="0" applyFont="1" applyBorder="1"/>
    <xf numFmtId="4" fontId="10" fillId="0" borderId="48" xfId="0" applyNumberFormat="1" applyFont="1" applyBorder="1"/>
    <xf numFmtId="0" fontId="10" fillId="13" borderId="49" xfId="0" applyFont="1" applyFill="1" applyBorder="1" applyAlignment="1">
      <alignment horizontal="center"/>
    </xf>
    <xf numFmtId="0" fontId="10" fillId="13" borderId="50" xfId="0" applyFont="1" applyFill="1" applyBorder="1" applyAlignment="1">
      <alignment horizontal="center"/>
    </xf>
    <xf numFmtId="173" fontId="17" fillId="13" borderId="50" xfId="0" applyNumberFormat="1" applyFont="1" applyFill="1" applyBorder="1" applyAlignment="1">
      <alignment horizontal="center"/>
    </xf>
    <xf numFmtId="4" fontId="17" fillId="13" borderId="5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69" fontId="10" fillId="0" borderId="0" xfId="0" applyNumberFormat="1" applyFont="1"/>
    <xf numFmtId="173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/>
    <xf numFmtId="0" fontId="0" fillId="0" borderId="0" xfId="0" applyFont="1" applyAlignment="1"/>
    <xf numFmtId="0" fontId="12" fillId="10" borderId="36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166" fontId="11" fillId="12" borderId="62" xfId="0" applyNumberFormat="1" applyFont="1" applyFill="1" applyBorder="1"/>
    <xf numFmtId="173" fontId="10" fillId="3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14" xfId="0" applyNumberFormat="1" applyFont="1" applyFill="1" applyBorder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85" fontId="0" fillId="0" borderId="0" xfId="0" applyNumberFormat="1" applyFont="1" applyAlignment="1"/>
    <xf numFmtId="186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167" fontId="10" fillId="3" borderId="9" xfId="0" applyNumberFormat="1" applyFont="1" applyFill="1" applyBorder="1" applyAlignment="1">
      <alignment vertical="center"/>
    </xf>
    <xf numFmtId="171" fontId="10" fillId="3" borderId="9" xfId="0" applyNumberFormat="1" applyFont="1" applyFill="1" applyBorder="1" applyAlignment="1">
      <alignment horizontal="right" vertical="center"/>
    </xf>
    <xf numFmtId="165" fontId="10" fillId="3" borderId="25" xfId="0" applyNumberFormat="1" applyFont="1" applyFill="1" applyBorder="1" applyAlignment="1">
      <alignment horizontal="right" vertical="center"/>
    </xf>
    <xf numFmtId="165" fontId="11" fillId="0" borderId="37" xfId="0" applyNumberFormat="1" applyFont="1" applyBorder="1"/>
    <xf numFmtId="4" fontId="17" fillId="0" borderId="49" xfId="0" applyNumberFormat="1" applyFont="1" applyBorder="1" applyAlignment="1">
      <alignment horizontal="center" vertical="center"/>
    </xf>
    <xf numFmtId="173" fontId="10" fillId="0" borderId="52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173" fontId="10" fillId="0" borderId="54" xfId="0" applyNumberFormat="1" applyFont="1" applyBorder="1" applyAlignment="1">
      <alignment horizontal="center" vertical="center"/>
    </xf>
    <xf numFmtId="4" fontId="10" fillId="0" borderId="54" xfId="0" applyNumberFormat="1" applyFont="1" applyBorder="1" applyAlignment="1">
      <alignment horizontal="center" vertical="center"/>
    </xf>
    <xf numFmtId="173" fontId="10" fillId="0" borderId="56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173" fontId="17" fillId="0" borderId="49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7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67" fontId="10" fillId="0" borderId="54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7" fontId="10" fillId="0" borderId="5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16" xfId="0" applyFont="1" applyFill="1" applyBorder="1"/>
    <xf numFmtId="4" fontId="0" fillId="0" borderId="16" xfId="0" applyNumberFormat="1" applyFont="1" applyFill="1" applyBorder="1"/>
    <xf numFmtId="4" fontId="0" fillId="0" borderId="16" xfId="0" applyNumberFormat="1" applyFont="1" applyFill="1" applyBorder="1" applyAlignment="1"/>
    <xf numFmtId="187" fontId="0" fillId="0" borderId="0" xfId="0" applyNumberFormat="1" applyFont="1"/>
    <xf numFmtId="4" fontId="0" fillId="0" borderId="0" xfId="0" applyNumberFormat="1" applyFont="1" applyAlignment="1"/>
    <xf numFmtId="0" fontId="0" fillId="0" borderId="62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  <xf numFmtId="166" fontId="0" fillId="12" borderId="38" xfId="0" applyNumberFormat="1" applyFont="1" applyFill="1" applyBorder="1" applyAlignment="1">
      <alignment horizontal="right"/>
    </xf>
    <xf numFmtId="0" fontId="20" fillId="0" borderId="9" xfId="0" applyFont="1" applyBorder="1" applyAlignment="1">
      <alignment horizontal="center" vertical="center" wrapText="1"/>
    </xf>
    <xf numFmtId="0" fontId="20" fillId="0" borderId="62" xfId="0" applyFont="1" applyBorder="1" applyAlignment="1">
      <alignment vertical="center"/>
    </xf>
    <xf numFmtId="0" fontId="0" fillId="0" borderId="16" xfId="0" applyFont="1" applyBorder="1"/>
    <xf numFmtId="37" fontId="0" fillId="0" borderId="16" xfId="0" applyNumberFormat="1" applyFont="1" applyBorder="1"/>
    <xf numFmtId="0" fontId="0" fillId="0" borderId="16" xfId="0" applyFont="1" applyBorder="1" applyAlignment="1"/>
    <xf numFmtId="166" fontId="0" fillId="12" borderId="72" xfId="0" applyNumberFormat="1" applyFont="1" applyFill="1" applyBorder="1" applyAlignment="1">
      <alignment horizontal="right"/>
    </xf>
    <xf numFmtId="166" fontId="0" fillId="12" borderId="73" xfId="0" applyNumberFormat="1" applyFont="1" applyFill="1" applyBorder="1" applyAlignment="1">
      <alignment horizontal="right"/>
    </xf>
    <xf numFmtId="166" fontId="0" fillId="12" borderId="74" xfId="0" applyNumberFormat="1" applyFont="1" applyFill="1" applyBorder="1" applyAlignment="1">
      <alignment horizontal="right"/>
    </xf>
    <xf numFmtId="166" fontId="0" fillId="12" borderId="62" xfId="0" applyNumberFormat="1" applyFont="1" applyFill="1" applyBorder="1" applyAlignment="1">
      <alignment horizontal="right"/>
    </xf>
    <xf numFmtId="166" fontId="0" fillId="0" borderId="16" xfId="0" applyNumberFormat="1" applyFont="1" applyFill="1" applyBorder="1"/>
    <xf numFmtId="165" fontId="0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9" fontId="18" fillId="0" borderId="16" xfId="0" applyNumberFormat="1" applyFont="1" applyFill="1" applyBorder="1" applyAlignment="1">
      <alignment horizontal="center"/>
    </xf>
    <xf numFmtId="169" fontId="19" fillId="0" borderId="16" xfId="0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/>
    <xf numFmtId="179" fontId="0" fillId="0" borderId="16" xfId="0" applyNumberFormat="1" applyFont="1" applyBorder="1"/>
    <xf numFmtId="0" fontId="0" fillId="0" borderId="0" xfId="0" applyFont="1" applyAlignment="1"/>
    <xf numFmtId="0" fontId="20" fillId="0" borderId="0" xfId="0" applyFont="1"/>
    <xf numFmtId="0" fontId="0" fillId="0" borderId="0" xfId="0" applyFont="1" applyAlignment="1"/>
    <xf numFmtId="0" fontId="20" fillId="45" borderId="62" xfId="0" applyFont="1" applyFill="1" applyBorder="1" applyAlignment="1">
      <alignment vertical="center" wrapText="1"/>
    </xf>
    <xf numFmtId="0" fontId="20" fillId="0" borderId="62" xfId="0" applyFont="1" applyBorder="1" applyAlignment="1">
      <alignment wrapText="1"/>
    </xf>
    <xf numFmtId="2" fontId="0" fillId="0" borderId="0" xfId="0" applyNumberFormat="1" applyFont="1" applyAlignment="1"/>
    <xf numFmtId="188" fontId="0" fillId="0" borderId="0" xfId="0" applyNumberFormat="1" applyFont="1" applyAlignment="1"/>
    <xf numFmtId="0" fontId="0" fillId="0" borderId="0" xfId="0" applyFont="1" applyFill="1" applyAlignment="1"/>
    <xf numFmtId="37" fontId="0" fillId="0" borderId="0" xfId="0" applyNumberFormat="1" applyFont="1" applyFill="1" applyAlignment="1"/>
    <xf numFmtId="37" fontId="0" fillId="0" borderId="0" xfId="0" applyNumberFormat="1" applyFont="1" applyFill="1"/>
    <xf numFmtId="0" fontId="20" fillId="46" borderId="62" xfId="0" applyFont="1" applyFill="1" applyBorder="1" applyAlignment="1">
      <alignment vertical="center" wrapText="1"/>
    </xf>
    <xf numFmtId="173" fontId="0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9" xfId="0" applyNumberFormat="1" applyFont="1" applyFill="1" applyBorder="1" applyAlignment="1">
      <alignment horizontal="right"/>
    </xf>
    <xf numFmtId="166" fontId="11" fillId="0" borderId="47" xfId="0" applyNumberFormat="1" applyFont="1" applyBorder="1"/>
    <xf numFmtId="165" fontId="11" fillId="12" borderId="62" xfId="0" applyNumberFormat="1" applyFont="1" applyFill="1" applyBorder="1" applyAlignment="1">
      <alignment horizontal="right"/>
    </xf>
    <xf numFmtId="174" fontId="11" fillId="4" borderId="14" xfId="0" applyNumberFormat="1" applyFont="1" applyFill="1" applyBorder="1"/>
    <xf numFmtId="166" fontId="11" fillId="0" borderId="37" xfId="0" applyNumberFormat="1" applyFont="1" applyBorder="1"/>
    <xf numFmtId="0" fontId="20" fillId="0" borderId="62" xfId="0" applyFont="1" applyBorder="1"/>
    <xf numFmtId="43" fontId="0" fillId="0" borderId="62" xfId="0" applyNumberFormat="1" applyFont="1" applyBorder="1"/>
    <xf numFmtId="0" fontId="20" fillId="8" borderId="62" xfId="0" applyFont="1" applyFill="1" applyBorder="1"/>
    <xf numFmtId="43" fontId="0" fillId="0" borderId="0" xfId="0" applyNumberFormat="1" applyFont="1"/>
    <xf numFmtId="43" fontId="20" fillId="0" borderId="0" xfId="0" applyNumberFormat="1" applyFont="1"/>
    <xf numFmtId="43" fontId="10" fillId="0" borderId="0" xfId="0" applyNumberFormat="1" applyFont="1"/>
    <xf numFmtId="0" fontId="0" fillId="0" borderId="0" xfId="0" applyFont="1" applyAlignment="1"/>
    <xf numFmtId="43" fontId="0" fillId="0" borderId="0" xfId="0" applyNumberFormat="1" applyFont="1" applyAlignment="1"/>
    <xf numFmtId="173" fontId="10" fillId="0" borderId="0" xfId="0" applyNumberFormat="1" applyFont="1"/>
    <xf numFmtId="166" fontId="11" fillId="12" borderId="39" xfId="0" applyNumberFormat="1" applyFont="1" applyFill="1" applyBorder="1" applyAlignment="1">
      <alignment horizontal="right"/>
    </xf>
    <xf numFmtId="165" fontId="11" fillId="0" borderId="37" xfId="0" applyNumberFormat="1" applyFont="1" applyBorder="1" applyAlignment="1">
      <alignment horizontal="right"/>
    </xf>
    <xf numFmtId="166" fontId="11" fillId="12" borderId="62" xfId="0" applyNumberFormat="1" applyFont="1" applyFill="1" applyBorder="1" applyAlignment="1">
      <alignment horizontal="right"/>
    </xf>
    <xf numFmtId="0" fontId="10" fillId="6" borderId="7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7" fillId="3" borderId="78" xfId="0" applyFont="1" applyFill="1" applyBorder="1" applyAlignment="1">
      <alignment horizontal="center"/>
    </xf>
    <xf numFmtId="0" fontId="10" fillId="3" borderId="79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186" fontId="10" fillId="0" borderId="0" xfId="0" applyNumberFormat="1" applyFont="1"/>
    <xf numFmtId="177" fontId="20" fillId="0" borderId="0" xfId="43" applyNumberFormat="1" applyFont="1"/>
    <xf numFmtId="0" fontId="0" fillId="0" borderId="0" xfId="0" applyFont="1" applyAlignment="1"/>
    <xf numFmtId="0" fontId="0" fillId="0" borderId="0" xfId="0" applyFont="1" applyAlignment="1"/>
    <xf numFmtId="183" fontId="10" fillId="0" borderId="0" xfId="0" applyNumberFormat="1" applyFont="1" applyAlignment="1">
      <alignment horizontal="left"/>
    </xf>
    <xf numFmtId="43" fontId="0" fillId="8" borderId="16" xfId="0" applyNumberFormat="1" applyFont="1" applyFill="1" applyBorder="1"/>
    <xf numFmtId="0" fontId="11" fillId="0" borderId="0" xfId="0" applyFont="1" applyAlignment="1">
      <alignment horizontal="right"/>
    </xf>
    <xf numFmtId="0" fontId="20" fillId="8" borderId="16" xfId="0" applyFont="1" applyFill="1" applyBorder="1"/>
    <xf numFmtId="166" fontId="11" fillId="4" borderId="20" xfId="0" applyNumberFormat="1" applyFont="1" applyFill="1" applyBorder="1"/>
    <xf numFmtId="43" fontId="0" fillId="12" borderId="28" xfId="0" applyNumberFormat="1" applyFont="1" applyFill="1" applyBorder="1"/>
    <xf numFmtId="43" fontId="0" fillId="12" borderId="31" xfId="0" applyNumberFormat="1" applyFont="1" applyFill="1" applyBorder="1" applyAlignment="1">
      <alignment horizontal="right"/>
    </xf>
    <xf numFmtId="165" fontId="0" fillId="12" borderId="32" xfId="0" applyNumberFormat="1" applyFont="1" applyFill="1" applyBorder="1" applyAlignment="1">
      <alignment horizontal="right"/>
    </xf>
    <xf numFmtId="165" fontId="0" fillId="12" borderId="28" xfId="0" applyNumberFormat="1" applyFont="1" applyFill="1" applyBorder="1" applyAlignment="1">
      <alignment horizontal="right"/>
    </xf>
    <xf numFmtId="165" fontId="0" fillId="12" borderId="36" xfId="0" applyNumberFormat="1" applyFont="1" applyFill="1" applyBorder="1" applyAlignment="1">
      <alignment horizontal="right"/>
    </xf>
    <xf numFmtId="0" fontId="0" fillId="0" borderId="0" xfId="0" applyFont="1" applyAlignment="1"/>
    <xf numFmtId="174" fontId="11" fillId="4" borderId="13" xfId="0" applyNumberFormat="1" applyFont="1" applyFill="1" applyBorder="1"/>
    <xf numFmtId="0" fontId="0" fillId="12" borderId="38" xfId="0" applyFont="1" applyFill="1" applyBorder="1"/>
    <xf numFmtId="166" fontId="0" fillId="12" borderId="28" xfId="0" applyNumberFormat="1" applyFont="1" applyFill="1" applyBorder="1" applyAlignment="1">
      <alignment horizontal="right"/>
    </xf>
    <xf numFmtId="166" fontId="0" fillId="12" borderId="37" xfId="0" applyNumberFormat="1" applyFont="1" applyFill="1" applyBorder="1" applyAlignment="1">
      <alignment horizontal="right"/>
    </xf>
    <xf numFmtId="0" fontId="0" fillId="0" borderId="0" xfId="0" applyFont="1" applyAlignment="1"/>
    <xf numFmtId="166" fontId="0" fillId="0" borderId="16" xfId="0" applyNumberFormat="1" applyFont="1" applyBorder="1"/>
    <xf numFmtId="165" fontId="11" fillId="0" borderId="16" xfId="0" applyNumberFormat="1" applyFont="1" applyBorder="1"/>
    <xf numFmtId="0" fontId="11" fillId="47" borderId="62" xfId="0" applyFont="1" applyFill="1" applyBorder="1" applyAlignment="1">
      <alignment horizontal="center" vertical="center"/>
    </xf>
    <xf numFmtId="4" fontId="0" fillId="12" borderId="81" xfId="0" applyNumberFormat="1" applyFont="1" applyFill="1" applyBorder="1" applyAlignment="1"/>
    <xf numFmtId="4" fontId="11" fillId="12" borderId="62" xfId="0" applyNumberFormat="1" applyFont="1" applyFill="1" applyBorder="1"/>
    <xf numFmtId="165" fontId="11" fillId="12" borderId="62" xfId="0" applyNumberFormat="1" applyFont="1" applyFill="1" applyBorder="1"/>
    <xf numFmtId="43" fontId="0" fillId="0" borderId="16" xfId="0" applyNumberFormat="1" applyFont="1" applyFill="1" applyBorder="1"/>
    <xf numFmtId="43" fontId="0" fillId="49" borderId="62" xfId="0" applyNumberFormat="1" applyFont="1" applyFill="1" applyBorder="1"/>
    <xf numFmtId="165" fontId="11" fillId="12" borderId="28" xfId="0" applyNumberFormat="1" applyFont="1" applyFill="1" applyBorder="1" applyAlignment="1">
      <alignment horizontal="right"/>
    </xf>
    <xf numFmtId="189" fontId="0" fillId="8" borderId="16" xfId="0" applyNumberFormat="1" applyFont="1" applyFill="1" applyBorder="1"/>
    <xf numFmtId="0" fontId="0" fillId="0" borderId="0" xfId="0" applyFont="1" applyAlignment="1"/>
    <xf numFmtId="0" fontId="20" fillId="0" borderId="0" xfId="0" applyFont="1" applyAlignment="1">
      <alignment horizontal="left"/>
    </xf>
    <xf numFmtId="0" fontId="0" fillId="0" borderId="16" xfId="0" applyBorder="1"/>
    <xf numFmtId="171" fontId="0" fillId="0" borderId="0" xfId="43" applyNumberFormat="1" applyFont="1" applyAlignment="1">
      <alignment horizontal="center"/>
    </xf>
    <xf numFmtId="0" fontId="40" fillId="0" borderId="16" xfId="0" applyNumberFormat="1" applyFont="1" applyFill="1" applyBorder="1" applyAlignment="1" applyProtection="1"/>
    <xf numFmtId="167" fontId="0" fillId="8" borderId="16" xfId="0" applyNumberFormat="1" applyFont="1" applyFill="1" applyBorder="1"/>
    <xf numFmtId="181" fontId="0" fillId="8" borderId="16" xfId="0" applyNumberFormat="1" applyFont="1" applyFill="1" applyBorder="1"/>
    <xf numFmtId="190" fontId="10" fillId="0" borderId="0" xfId="0" applyNumberFormat="1" applyFont="1" applyAlignment="1">
      <alignment horizontal="right"/>
    </xf>
    <xf numFmtId="4" fontId="0" fillId="12" borderId="81" xfId="0" applyNumberFormat="1" applyFont="1" applyFill="1" applyBorder="1" applyAlignment="1"/>
    <xf numFmtId="4" fontId="0" fillId="12" borderId="73" xfId="0" applyNumberFormat="1" applyFont="1" applyFill="1" applyBorder="1" applyAlignment="1"/>
    <xf numFmtId="4" fontId="0" fillId="12" borderId="82" xfId="0" applyNumberFormat="1" applyFont="1" applyFill="1" applyBorder="1" applyAlignment="1"/>
    <xf numFmtId="43" fontId="0" fillId="12" borderId="20" xfId="0" applyNumberFormat="1" applyFont="1" applyFill="1" applyBorder="1" applyAlignment="1">
      <alignment horizontal="center"/>
    </xf>
    <xf numFmtId="43" fontId="0" fillId="12" borderId="38" xfId="0" applyNumberFormat="1" applyFont="1" applyFill="1" applyBorder="1" applyAlignment="1">
      <alignment horizontal="center"/>
    </xf>
    <xf numFmtId="43" fontId="0" fillId="12" borderId="37" xfId="0" applyNumberFormat="1" applyFont="1" applyFill="1" applyBorder="1" applyAlignment="1">
      <alignment horizontal="center"/>
    </xf>
    <xf numFmtId="43" fontId="0" fillId="12" borderId="28" xfId="0" applyNumberFormat="1" applyFont="1" applyFill="1" applyBorder="1" applyAlignment="1">
      <alignment horizontal="center"/>
    </xf>
    <xf numFmtId="43" fontId="0" fillId="12" borderId="36" xfId="0" applyNumberFormat="1" applyFont="1" applyFill="1" applyBorder="1" applyAlignment="1">
      <alignment horizontal="center"/>
    </xf>
    <xf numFmtId="166" fontId="0" fillId="12" borderId="20" xfId="0" applyNumberFormat="1" applyFont="1" applyFill="1" applyBorder="1" applyAlignment="1">
      <alignment horizontal="center"/>
    </xf>
    <xf numFmtId="166" fontId="0" fillId="12" borderId="37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5" fontId="12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165" fontId="12" fillId="10" borderId="60" xfId="0" applyNumberFormat="1" applyFont="1" applyFill="1" applyBorder="1" applyAlignment="1">
      <alignment horizontal="center"/>
    </xf>
    <xf numFmtId="165" fontId="12" fillId="10" borderId="75" xfId="0" applyNumberFormat="1" applyFont="1" applyFill="1" applyBorder="1" applyAlignment="1">
      <alignment horizontal="center"/>
    </xf>
    <xf numFmtId="165" fontId="12" fillId="10" borderId="6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5" fillId="12" borderId="5" xfId="0" applyFont="1" applyFill="1" applyBorder="1" applyAlignment="1">
      <alignment horizontal="center" vertical="center" textRotation="255" wrapText="1"/>
    </xf>
    <xf numFmtId="0" fontId="5" fillId="0" borderId="12" xfId="0" applyFont="1" applyBorder="1"/>
    <xf numFmtId="0" fontId="5" fillId="0" borderId="38" xfId="0" applyFont="1" applyBorder="1"/>
    <xf numFmtId="0" fontId="5" fillId="0" borderId="37" xfId="0" applyFont="1" applyBorder="1"/>
    <xf numFmtId="0" fontId="3" fillId="10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165" fontId="0" fillId="4" borderId="5" xfId="0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65" fontId="5" fillId="0" borderId="12" xfId="0" applyNumberFormat="1" applyFont="1" applyBorder="1"/>
    <xf numFmtId="165" fontId="5" fillId="0" borderId="37" xfId="0" applyNumberFormat="1" applyFont="1" applyBorder="1"/>
    <xf numFmtId="166" fontId="4" fillId="4" borderId="5" xfId="0" applyNumberFormat="1" applyFont="1" applyFill="1" applyBorder="1" applyAlignment="1">
      <alignment horizontal="center" vertical="center"/>
    </xf>
    <xf numFmtId="174" fontId="0" fillId="4" borderId="20" xfId="0" applyNumberFormat="1" applyFont="1" applyFill="1" applyBorder="1" applyAlignment="1">
      <alignment horizontal="center" vertical="center"/>
    </xf>
    <xf numFmtId="174" fontId="0" fillId="4" borderId="38" xfId="0" applyNumberFormat="1" applyFont="1" applyFill="1" applyBorder="1" applyAlignment="1">
      <alignment horizontal="center" vertical="center"/>
    </xf>
    <xf numFmtId="174" fontId="0" fillId="4" borderId="37" xfId="0" applyNumberFormat="1" applyFont="1" applyFill="1" applyBorder="1" applyAlignment="1">
      <alignment horizontal="center" vertical="center"/>
    </xf>
    <xf numFmtId="165" fontId="4" fillId="12" borderId="20" xfId="0" applyNumberFormat="1" applyFont="1" applyFill="1" applyBorder="1" applyAlignment="1">
      <alignment horizontal="center" vertical="center"/>
    </xf>
    <xf numFmtId="165" fontId="4" fillId="12" borderId="38" xfId="0" applyNumberFormat="1" applyFont="1" applyFill="1" applyBorder="1" applyAlignment="1">
      <alignment horizontal="center" vertical="center"/>
    </xf>
    <xf numFmtId="165" fontId="4" fillId="12" borderId="37" xfId="0" applyNumberFormat="1" applyFont="1" applyFill="1" applyBorder="1" applyAlignment="1">
      <alignment horizontal="center" vertical="center"/>
    </xf>
    <xf numFmtId="165" fontId="0" fillId="12" borderId="20" xfId="0" applyNumberFormat="1" applyFont="1" applyFill="1" applyBorder="1" applyAlignment="1">
      <alignment horizontal="center" vertical="center"/>
    </xf>
    <xf numFmtId="165" fontId="0" fillId="12" borderId="38" xfId="0" applyNumberFormat="1" applyFont="1" applyFill="1" applyBorder="1" applyAlignment="1">
      <alignment horizontal="center" vertical="center"/>
    </xf>
    <xf numFmtId="165" fontId="0" fillId="12" borderId="37" xfId="0" applyNumberFormat="1" applyFont="1" applyFill="1" applyBorder="1" applyAlignment="1">
      <alignment horizontal="center" vertical="center"/>
    </xf>
    <xf numFmtId="165" fontId="0" fillId="12" borderId="39" xfId="0" applyNumberFormat="1" applyFont="1" applyFill="1" applyBorder="1" applyAlignment="1">
      <alignment horizontal="center" vertical="center"/>
    </xf>
    <xf numFmtId="165" fontId="0" fillId="12" borderId="7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5" fillId="0" borderId="4" xfId="0" applyFont="1" applyBorder="1"/>
    <xf numFmtId="0" fontId="5" fillId="0" borderId="14" xfId="0" applyFont="1" applyBorder="1"/>
    <xf numFmtId="0" fontId="5" fillId="0" borderId="3" xfId="0" applyFont="1" applyBorder="1"/>
    <xf numFmtId="0" fontId="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3" fillId="10" borderId="5" xfId="0" quotePrefix="1" applyFont="1" applyFill="1" applyBorder="1" applyAlignment="1">
      <alignment horizontal="center" vertical="center" wrapText="1"/>
    </xf>
    <xf numFmtId="0" fontId="32" fillId="48" borderId="62" xfId="0" applyFont="1" applyFill="1" applyBorder="1" applyAlignment="1" applyProtection="1">
      <alignment horizontal="center" vertical="center" wrapText="1"/>
    </xf>
    <xf numFmtId="0" fontId="5" fillId="0" borderId="10" xfId="0" applyFont="1" applyBorder="1"/>
    <xf numFmtId="166" fontId="0" fillId="12" borderId="38" xfId="0" applyNumberFormat="1" applyFont="1" applyFill="1" applyBorder="1" applyAlignment="1">
      <alignment horizontal="center"/>
    </xf>
    <xf numFmtId="4" fontId="0" fillId="12" borderId="74" xfId="0" applyNumberFormat="1" applyFont="1" applyFill="1" applyBorder="1" applyAlignment="1"/>
    <xf numFmtId="172" fontId="9" fillId="9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2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43" fontId="0" fillId="12" borderId="32" xfId="0" applyNumberFormat="1" applyFont="1" applyFill="1" applyBorder="1" applyAlignment="1">
      <alignment horizontal="center"/>
    </xf>
    <xf numFmtId="43" fontId="0" fillId="12" borderId="72" xfId="0" applyNumberFormat="1" applyFont="1" applyFill="1" applyBorder="1" applyAlignment="1">
      <alignment horizontal="center"/>
    </xf>
    <xf numFmtId="43" fontId="0" fillId="12" borderId="73" xfId="0" applyNumberFormat="1" applyFont="1" applyFill="1" applyBorder="1" applyAlignment="1">
      <alignment horizontal="center"/>
    </xf>
    <xf numFmtId="43" fontId="0" fillId="12" borderId="74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166" fontId="0" fillId="0" borderId="62" xfId="0" applyNumberFormat="1" applyFont="1" applyBorder="1"/>
  </cellXfs>
  <cellStyles count="44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tas 2" xfId="17"/>
    <cellStyle name="Porcentaje" xfId="43" builtinId="5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G1000"/>
  <sheetViews>
    <sheetView showGridLines="0" tabSelected="1" zoomScale="80" zoomScaleNormal="80" workbookViewId="0">
      <selection activeCell="A9" sqref="A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8.7109375" customWidth="1"/>
    <col min="6" max="6" width="18.140625" customWidth="1"/>
    <col min="7" max="7" width="19.85546875" customWidth="1"/>
    <col min="8" max="8" width="22.85546875" customWidth="1"/>
    <col min="9" max="9" width="14.7109375" customWidth="1"/>
    <col min="10" max="10" width="18" customWidth="1"/>
    <col min="11" max="11" width="18.85546875" customWidth="1"/>
    <col min="12" max="12" width="19.140625" style="290" customWidth="1"/>
    <col min="13" max="13" width="17.140625" customWidth="1"/>
    <col min="14" max="14" width="15.140625" customWidth="1"/>
    <col min="15" max="15" width="14.7109375" customWidth="1"/>
    <col min="16" max="16" width="14.42578125" customWidth="1"/>
    <col min="17" max="17" width="14.28515625" customWidth="1"/>
    <col min="18" max="18" width="14.85546875" customWidth="1"/>
    <col min="19" max="19" width="13.85546875" customWidth="1"/>
    <col min="20" max="20" width="1.140625" customWidth="1"/>
    <col min="21" max="21" width="15.28515625" customWidth="1"/>
    <col min="22" max="22" width="4.28515625" customWidth="1"/>
    <col min="23" max="31" width="1.5703125" customWidth="1"/>
    <col min="32" max="32" width="5.28515625" customWidth="1"/>
    <col min="33" max="33" width="5.42578125" customWidth="1"/>
    <col min="34" max="34" width="12.28515625" hidden="1" customWidth="1"/>
    <col min="35" max="35" width="13" hidden="1" customWidth="1"/>
    <col min="36" max="36" width="3.28515625" hidden="1" customWidth="1"/>
    <col min="37" max="37" width="6.5703125" hidden="1" customWidth="1"/>
    <col min="38" max="38" width="42.5703125" hidden="1" customWidth="1"/>
    <col min="39" max="39" width="16.42578125" hidden="1" customWidth="1"/>
    <col min="40" max="40" width="1.28515625" hidden="1" customWidth="1"/>
    <col min="41" max="41" width="14.7109375" hidden="1" customWidth="1"/>
    <col min="42" max="42" width="2.28515625" customWidth="1"/>
    <col min="43" max="43" width="16.140625" hidden="1" customWidth="1"/>
    <col min="44" max="44" width="11.5703125" hidden="1" customWidth="1"/>
    <col min="45" max="45" width="15.140625" hidden="1" customWidth="1"/>
    <col min="46" max="46" width="13" style="263" hidden="1" customWidth="1"/>
    <col min="47" max="47" width="2.28515625" style="263" hidden="1" customWidth="1"/>
    <col min="48" max="48" width="15.7109375" style="263" hidden="1" customWidth="1"/>
    <col min="49" max="49" width="16.140625" hidden="1" customWidth="1"/>
    <col min="50" max="50" width="13.42578125" hidden="1" customWidth="1"/>
    <col min="51" max="51" width="3.140625" hidden="1" customWidth="1"/>
    <col min="52" max="53" width="0" style="283" hidden="1" customWidth="1"/>
    <col min="54" max="54" width="2.28515625" hidden="1" customWidth="1"/>
    <col min="55" max="59" width="0" hidden="1" customWidth="1"/>
  </cols>
  <sheetData>
    <row r="1" spans="1:59" x14ac:dyDescent="0.25">
      <c r="A1" s="27"/>
      <c r="B1" s="27"/>
      <c r="C1" s="57" t="s">
        <v>562</v>
      </c>
      <c r="D1" s="5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61"/>
      <c r="AU1" s="261"/>
      <c r="AV1" s="261"/>
      <c r="AW1" s="27"/>
      <c r="AX1" s="27"/>
    </row>
    <row r="2" spans="1:59" x14ac:dyDescent="0.25">
      <c r="A2" s="27"/>
      <c r="B2" s="27"/>
      <c r="C2" s="57" t="s">
        <v>692</v>
      </c>
      <c r="D2" s="5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61"/>
      <c r="AU2" s="261"/>
      <c r="AV2" s="261"/>
      <c r="AW2" s="27"/>
      <c r="AX2" s="27"/>
    </row>
    <row r="3" spans="1:59" x14ac:dyDescent="0.25">
      <c r="A3" s="27"/>
      <c r="B3" s="27"/>
      <c r="C3" s="57" t="s">
        <v>693</v>
      </c>
      <c r="D3" s="57"/>
      <c r="E3" s="412"/>
      <c r="F3" s="367"/>
      <c r="G3" s="367"/>
      <c r="H3" s="367"/>
      <c r="I3" s="367"/>
      <c r="J3" s="367"/>
      <c r="K3" s="367"/>
      <c r="M3" s="27"/>
      <c r="N3" s="413" t="s">
        <v>286</v>
      </c>
      <c r="O3" s="409"/>
      <c r="P3" s="409"/>
      <c r="Q3" s="409"/>
      <c r="R3" s="409"/>
      <c r="S3" s="409"/>
      <c r="T3" s="409"/>
      <c r="U3" s="411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61"/>
      <c r="AU3" s="261"/>
      <c r="AV3" s="261"/>
      <c r="AW3" s="27"/>
      <c r="AX3" s="27"/>
    </row>
    <row r="4" spans="1:59" x14ac:dyDescent="0.25">
      <c r="A4" s="27"/>
      <c r="B4" s="27"/>
      <c r="C4" s="57"/>
      <c r="D4" s="57"/>
      <c r="E4" s="367"/>
      <c r="F4" s="367"/>
      <c r="G4" s="367"/>
      <c r="H4" s="367"/>
      <c r="I4" s="367"/>
      <c r="J4" s="367"/>
      <c r="K4" s="367"/>
      <c r="M4" s="27"/>
      <c r="N4" s="58" t="s">
        <v>10</v>
      </c>
      <c r="O4" s="59" t="s">
        <v>11</v>
      </c>
      <c r="P4" s="58" t="s">
        <v>12</v>
      </c>
      <c r="Q4" s="59" t="s">
        <v>13</v>
      </c>
      <c r="R4" s="58" t="s">
        <v>14</v>
      </c>
      <c r="S4" s="60" t="s">
        <v>20</v>
      </c>
      <c r="T4" s="61"/>
      <c r="U4" s="62" t="s">
        <v>287</v>
      </c>
      <c r="V4" s="407"/>
      <c r="W4" s="367"/>
      <c r="X4" s="36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61"/>
      <c r="AU4" s="261"/>
      <c r="AV4" s="261"/>
      <c r="AW4" s="27"/>
      <c r="AX4" s="27"/>
    </row>
    <row r="5" spans="1:59" x14ac:dyDescent="0.25">
      <c r="A5" s="27"/>
      <c r="B5" s="27"/>
      <c r="C5" s="57"/>
      <c r="D5" s="57"/>
      <c r="E5" s="13"/>
      <c r="F5" s="13"/>
      <c r="G5" s="13"/>
      <c r="H5" s="13"/>
      <c r="I5" s="13"/>
      <c r="J5" s="27"/>
      <c r="K5" s="27"/>
      <c r="L5" s="27"/>
      <c r="M5" s="27"/>
      <c r="N5" s="63">
        <f>'CALCULO CC AGENTES'!F557</f>
        <v>910979.96299999999</v>
      </c>
      <c r="O5" s="64">
        <f>'CALCULO CC AGENTES'!F558</f>
        <v>555765.22629999998</v>
      </c>
      <c r="P5" s="64">
        <f>'CALCULO CC AGENTES'!F559</f>
        <v>807127.36320000002</v>
      </c>
      <c r="Q5" s="64">
        <f>'CALCULO CC AGENTES'!F560</f>
        <v>367129.74099999998</v>
      </c>
      <c r="R5" s="64">
        <f>'CALCULO CC AGENTES'!F561</f>
        <v>773375.24</v>
      </c>
      <c r="S5" s="64">
        <f>'CALCULO CC AGENTES'!F562</f>
        <v>889429.81019999995</v>
      </c>
      <c r="T5" s="65"/>
      <c r="U5" s="64">
        <f>SUM(N5:S5)</f>
        <v>4303807.3437000001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61"/>
      <c r="AU5" s="261"/>
      <c r="AV5" s="261"/>
      <c r="AW5" s="27"/>
      <c r="AX5" s="27"/>
    </row>
    <row r="6" spans="1:59" ht="5.25" customHeight="1" x14ac:dyDescent="0.25">
      <c r="A6" s="27"/>
      <c r="B6" s="27"/>
      <c r="C6" s="57"/>
      <c r="D6" s="5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61"/>
      <c r="AU6" s="261"/>
      <c r="AV6" s="261"/>
      <c r="AW6" s="27"/>
      <c r="AX6" s="27"/>
    </row>
    <row r="7" spans="1:59" ht="15.75" x14ac:dyDescent="0.25">
      <c r="A7" s="27"/>
      <c r="B7" s="27"/>
      <c r="C7" s="27"/>
      <c r="D7" s="408" t="s">
        <v>288</v>
      </c>
      <c r="E7" s="409"/>
      <c r="F7" s="409"/>
      <c r="G7" s="409"/>
      <c r="H7" s="409"/>
      <c r="I7" s="409"/>
      <c r="J7" s="409"/>
      <c r="K7" s="409"/>
      <c r="L7" s="410"/>
      <c r="M7" s="409"/>
      <c r="N7" s="409"/>
      <c r="O7" s="409"/>
      <c r="P7" s="409"/>
      <c r="Q7" s="409"/>
      <c r="R7" s="409"/>
      <c r="S7" s="4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61"/>
      <c r="AU7" s="261"/>
      <c r="AV7" s="261"/>
      <c r="AW7" s="27"/>
      <c r="AX7" s="27"/>
    </row>
    <row r="8" spans="1:59" ht="43.5" customHeight="1" x14ac:dyDescent="0.25">
      <c r="A8" s="27"/>
      <c r="B8" s="27"/>
      <c r="C8" s="27"/>
      <c r="D8" s="66"/>
      <c r="E8" s="67" t="s">
        <v>289</v>
      </c>
      <c r="F8" s="68"/>
      <c r="G8" s="435" t="s">
        <v>290</v>
      </c>
      <c r="H8" s="387" t="s">
        <v>714</v>
      </c>
      <c r="I8" s="387" t="s">
        <v>348</v>
      </c>
      <c r="J8" s="387" t="s">
        <v>349</v>
      </c>
      <c r="K8" s="414" t="s">
        <v>350</v>
      </c>
      <c r="L8" s="414" t="s">
        <v>482</v>
      </c>
      <c r="M8" s="387" t="s">
        <v>291</v>
      </c>
      <c r="N8" s="388" t="s">
        <v>10</v>
      </c>
      <c r="O8" s="388" t="s">
        <v>11</v>
      </c>
      <c r="P8" s="388" t="s">
        <v>12</v>
      </c>
      <c r="Q8" s="388" t="s">
        <v>13</v>
      </c>
      <c r="R8" s="388" t="s">
        <v>14</v>
      </c>
      <c r="S8" s="388" t="s">
        <v>20</v>
      </c>
      <c r="T8" s="27"/>
      <c r="U8" s="415" t="s">
        <v>610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61"/>
      <c r="AU8" s="261"/>
      <c r="AV8" s="261"/>
      <c r="AW8" s="27"/>
      <c r="AX8" s="27"/>
    </row>
    <row r="9" spans="1:59" ht="101.25" customHeight="1" x14ac:dyDescent="0.25">
      <c r="A9" s="69" t="s">
        <v>292</v>
      </c>
      <c r="B9" s="69" t="s">
        <v>293</v>
      </c>
      <c r="C9" s="70" t="s">
        <v>294</v>
      </c>
      <c r="D9" s="71" t="s">
        <v>499</v>
      </c>
      <c r="E9" s="72" t="s">
        <v>405</v>
      </c>
      <c r="F9" s="73" t="s">
        <v>295</v>
      </c>
      <c r="G9" s="436"/>
      <c r="H9" s="386"/>
      <c r="I9" s="41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74"/>
      <c r="U9" s="41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27"/>
      <c r="AG9" s="27"/>
      <c r="AH9" s="27"/>
      <c r="AI9" s="27"/>
      <c r="AJ9" s="76"/>
      <c r="AK9" s="77" t="s">
        <v>280</v>
      </c>
      <c r="AL9" s="77" t="s">
        <v>296</v>
      </c>
      <c r="AM9" s="259" t="s">
        <v>500</v>
      </c>
      <c r="AN9" s="27"/>
      <c r="AO9" s="259" t="s">
        <v>563</v>
      </c>
      <c r="AP9" s="27"/>
      <c r="AQ9" s="256" t="s">
        <v>403</v>
      </c>
      <c r="AR9" s="27"/>
      <c r="AS9" s="257" t="s">
        <v>406</v>
      </c>
      <c r="AT9" s="260" t="s">
        <v>407</v>
      </c>
      <c r="AU9" s="261"/>
      <c r="AV9" s="257" t="s">
        <v>467</v>
      </c>
      <c r="AW9" s="257" t="s">
        <v>468</v>
      </c>
      <c r="AX9" s="257" t="s">
        <v>404</v>
      </c>
      <c r="AZ9" s="279" t="s">
        <v>462</v>
      </c>
      <c r="BA9" s="279" t="s">
        <v>463</v>
      </c>
      <c r="BC9" s="280" t="s">
        <v>464</v>
      </c>
      <c r="BD9" s="280" t="s">
        <v>466</v>
      </c>
      <c r="BE9" s="286" t="s">
        <v>465</v>
      </c>
    </row>
    <row r="10" spans="1:59" x14ac:dyDescent="0.25">
      <c r="A10" s="390" t="s">
        <v>5</v>
      </c>
      <c r="B10" s="78" t="s">
        <v>297</v>
      </c>
      <c r="C10" s="79" t="s">
        <v>298</v>
      </c>
      <c r="D10" s="80">
        <f t="shared" ref="D10:D36" si="0">AM10</f>
        <v>2464583</v>
      </c>
      <c r="E10" s="80">
        <f t="shared" ref="E10:E21" si="1">AO10</f>
        <v>205381.92</v>
      </c>
      <c r="F10" s="81">
        <v>0</v>
      </c>
      <c r="G10" s="82">
        <f t="shared" ref="G10:G21" si="2">+E10-F10</f>
        <v>205381.92</v>
      </c>
      <c r="H10" s="396"/>
      <c r="I10" s="389"/>
      <c r="J10" s="389"/>
      <c r="K10" s="395">
        <f>+J10/6</f>
        <v>0</v>
      </c>
      <c r="L10" s="395"/>
      <c r="M10" s="81"/>
      <c r="N10" s="84"/>
      <c r="O10" s="85"/>
      <c r="P10" s="79"/>
      <c r="Q10" s="85"/>
      <c r="R10" s="79"/>
      <c r="S10" s="86"/>
      <c r="T10" s="75"/>
      <c r="U10" s="79"/>
      <c r="V10" s="27"/>
      <c r="W10" s="75"/>
      <c r="X10" s="75"/>
      <c r="Y10" s="75"/>
      <c r="Z10" s="75"/>
      <c r="AA10" s="75"/>
      <c r="AB10" s="75"/>
      <c r="AC10" s="75"/>
      <c r="AD10" s="75"/>
      <c r="AE10" s="75"/>
      <c r="AF10" s="27"/>
      <c r="AG10" s="27"/>
      <c r="AH10" s="27">
        <v>1710</v>
      </c>
      <c r="AI10" s="27">
        <v>3190</v>
      </c>
      <c r="AJ10" s="76">
        <v>1</v>
      </c>
      <c r="AK10" s="88" t="s">
        <v>297</v>
      </c>
      <c r="AL10" s="88" t="s">
        <v>298</v>
      </c>
      <c r="AM10" s="89">
        <v>2464583</v>
      </c>
      <c r="AN10" s="27"/>
      <c r="AO10" s="90">
        <f t="shared" ref="AO10:AO21" si="3">ROUND(+AM10/12,2)</f>
        <v>205381.92</v>
      </c>
      <c r="AP10" s="27"/>
      <c r="AQ10" s="222">
        <v>0</v>
      </c>
      <c r="AR10" s="91">
        <f>+AQ10-AM10</f>
        <v>-2464583</v>
      </c>
      <c r="AS10" s="176">
        <f>ROUND(AQ10/12,2)</f>
        <v>0</v>
      </c>
      <c r="AT10" s="262">
        <f>+AS10-AO10</f>
        <v>-205381.92</v>
      </c>
      <c r="AU10" s="261"/>
      <c r="AV10" s="275">
        <f>+AO10*7</f>
        <v>1437673.4400000002</v>
      </c>
      <c r="AW10" s="222">
        <f>+AQ10-AV10</f>
        <v>-1437673.4400000002</v>
      </c>
      <c r="AX10" s="27">
        <f>ROUND(AW10/5,2)</f>
        <v>-287534.69</v>
      </c>
      <c r="AZ10" s="284">
        <v>2366906</v>
      </c>
      <c r="BA10" s="285">
        <f>ROUND(AZ10/12,2)</f>
        <v>197242.17</v>
      </c>
      <c r="BC10">
        <f>AX10*2</f>
        <v>-575069.38</v>
      </c>
      <c r="BD10" s="281">
        <f>+AV10+BC10</f>
        <v>862604.06000000017</v>
      </c>
      <c r="BE10">
        <f>+ROUND((AZ10-BD10)/3,2)</f>
        <v>501433.98</v>
      </c>
      <c r="BF10">
        <f>+BE10-AX10</f>
        <v>788968.66999999993</v>
      </c>
      <c r="BG10" s="255">
        <f>+AZ10-AQ10</f>
        <v>2366906</v>
      </c>
    </row>
    <row r="11" spans="1:59" x14ac:dyDescent="0.25">
      <c r="A11" s="391"/>
      <c r="B11" s="92" t="s">
        <v>297</v>
      </c>
      <c r="C11" s="93" t="s">
        <v>300</v>
      </c>
      <c r="D11" s="80">
        <f t="shared" si="0"/>
        <v>2236788</v>
      </c>
      <c r="E11" s="80">
        <f t="shared" si="1"/>
        <v>186399</v>
      </c>
      <c r="F11" s="83">
        <v>0</v>
      </c>
      <c r="G11" s="94">
        <f t="shared" si="2"/>
        <v>186399</v>
      </c>
      <c r="H11" s="397"/>
      <c r="I11" s="384"/>
      <c r="J11" s="393"/>
      <c r="K11" s="384"/>
      <c r="L11" s="384"/>
      <c r="M11" s="83"/>
      <c r="N11" s="93"/>
      <c r="O11" s="95"/>
      <c r="P11" s="93"/>
      <c r="Q11" s="95"/>
      <c r="R11" s="93"/>
      <c r="S11" s="96"/>
      <c r="T11" s="75"/>
      <c r="U11" s="93"/>
      <c r="V11" s="27"/>
      <c r="W11" s="75"/>
      <c r="X11" s="75"/>
      <c r="Y11" s="75"/>
      <c r="Z11" s="75"/>
      <c r="AA11" s="75"/>
      <c r="AB11" s="75"/>
      <c r="AC11" s="75"/>
      <c r="AD11" s="75"/>
      <c r="AE11" s="75"/>
      <c r="AF11" s="27"/>
      <c r="AG11" s="27"/>
      <c r="AH11" s="27">
        <v>1124</v>
      </c>
      <c r="AI11" s="27">
        <v>29161</v>
      </c>
      <c r="AJ11" s="76">
        <v>1</v>
      </c>
      <c r="AK11" s="88" t="s">
        <v>297</v>
      </c>
      <c r="AL11" s="88" t="s">
        <v>300</v>
      </c>
      <c r="AM11" s="89">
        <v>2236788</v>
      </c>
      <c r="AN11" s="27"/>
      <c r="AO11" s="90">
        <f t="shared" si="3"/>
        <v>186399</v>
      </c>
      <c r="AP11" s="27"/>
      <c r="AQ11" s="222">
        <v>0</v>
      </c>
      <c r="AR11" s="91">
        <f t="shared" ref="AR11:AR36" si="4">+AQ11-AM11</f>
        <v>-2236788</v>
      </c>
      <c r="AS11" s="176">
        <f t="shared" ref="AS11:AS36" si="5">ROUND(AQ11/12,2)</f>
        <v>0</v>
      </c>
      <c r="AT11" s="262">
        <f t="shared" ref="AT11:AT36" si="6">+AS11-AO11</f>
        <v>-186399</v>
      </c>
      <c r="AU11" s="261"/>
      <c r="AV11" s="275">
        <f t="shared" ref="AV11:AV36" si="7">+AO11*7</f>
        <v>1304793</v>
      </c>
      <c r="AW11" s="222">
        <f t="shared" ref="AW11:AW36" si="8">+AQ11-AV11</f>
        <v>-1304793</v>
      </c>
      <c r="AX11" s="27">
        <f t="shared" ref="AX11:AX36" si="9">ROUND(AW11/5,2)</f>
        <v>-260958.6</v>
      </c>
      <c r="AY11" s="250"/>
      <c r="AZ11" s="284">
        <v>1530145</v>
      </c>
      <c r="BA11" s="285">
        <f t="shared" ref="BA11:BA36" si="10">ROUND(AZ11/12,2)</f>
        <v>127512.08</v>
      </c>
      <c r="BC11" s="278">
        <f t="shared" ref="BC11:BC36" si="11">AX11*2</f>
        <v>-521917.2</v>
      </c>
      <c r="BD11" s="281">
        <f t="shared" ref="BD11:BD36" si="12">+AV11+BC11</f>
        <v>782875.8</v>
      </c>
      <c r="BE11" s="278">
        <f t="shared" ref="BE11:BE36" si="13">+ROUND((AZ11-BD11)/3,2)</f>
        <v>249089.73</v>
      </c>
      <c r="BF11" s="278">
        <f t="shared" ref="BF11:BF36" si="14">+BE11-AX11</f>
        <v>510048.33</v>
      </c>
      <c r="BG11" s="255">
        <f t="shared" ref="BG11:BG36" si="15">+AZ11-AQ11</f>
        <v>1530145</v>
      </c>
    </row>
    <row r="12" spans="1:59" x14ac:dyDescent="0.25">
      <c r="A12" s="391"/>
      <c r="B12" s="92" t="s">
        <v>301</v>
      </c>
      <c r="C12" s="93" t="s">
        <v>302</v>
      </c>
      <c r="D12" s="80">
        <f t="shared" si="0"/>
        <v>760764</v>
      </c>
      <c r="E12" s="80">
        <f t="shared" si="1"/>
        <v>63397</v>
      </c>
      <c r="F12" s="83">
        <v>0</v>
      </c>
      <c r="G12" s="94">
        <f t="shared" si="2"/>
        <v>63397</v>
      </c>
      <c r="H12" s="397"/>
      <c r="I12" s="384"/>
      <c r="J12" s="393"/>
      <c r="K12" s="384"/>
      <c r="L12" s="384"/>
      <c r="M12" s="83"/>
      <c r="N12" s="93"/>
      <c r="O12" s="95"/>
      <c r="P12" s="93"/>
      <c r="Q12" s="95"/>
      <c r="R12" s="93"/>
      <c r="S12" s="96"/>
      <c r="T12" s="75"/>
      <c r="U12" s="93"/>
      <c r="V12" s="27"/>
      <c r="W12" s="75"/>
      <c r="X12" s="75"/>
      <c r="Y12" s="75"/>
      <c r="Z12" s="75"/>
      <c r="AA12" s="75"/>
      <c r="AB12" s="75"/>
      <c r="AC12" s="75"/>
      <c r="AD12" s="75"/>
      <c r="AE12" s="75"/>
      <c r="AF12" s="27"/>
      <c r="AG12" s="27"/>
      <c r="AH12" s="27">
        <v>28161</v>
      </c>
      <c r="AI12" s="27">
        <v>29161</v>
      </c>
      <c r="AJ12" s="76">
        <v>1</v>
      </c>
      <c r="AK12" s="88" t="s">
        <v>301</v>
      </c>
      <c r="AL12" s="88" t="s">
        <v>302</v>
      </c>
      <c r="AM12" s="89">
        <v>760764</v>
      </c>
      <c r="AN12" s="27"/>
      <c r="AO12" s="90">
        <f t="shared" si="3"/>
        <v>63397</v>
      </c>
      <c r="AP12" s="27"/>
      <c r="AQ12" s="252">
        <v>0</v>
      </c>
      <c r="AR12" s="91">
        <f t="shared" si="4"/>
        <v>-760764</v>
      </c>
      <c r="AS12" s="176">
        <f t="shared" si="5"/>
        <v>0</v>
      </c>
      <c r="AT12" s="262">
        <f t="shared" si="6"/>
        <v>-63397</v>
      </c>
      <c r="AU12" s="261"/>
      <c r="AV12" s="275">
        <f t="shared" si="7"/>
        <v>443779</v>
      </c>
      <c r="AW12" s="222">
        <f t="shared" si="8"/>
        <v>-443779</v>
      </c>
      <c r="AX12" s="27">
        <f t="shared" si="9"/>
        <v>-88755.8</v>
      </c>
      <c r="AY12" s="250"/>
      <c r="AZ12" s="284">
        <v>730613</v>
      </c>
      <c r="BA12" s="285">
        <f t="shared" si="10"/>
        <v>60884.42</v>
      </c>
      <c r="BC12" s="278">
        <f t="shared" si="11"/>
        <v>-177511.6</v>
      </c>
      <c r="BD12" s="281">
        <f t="shared" si="12"/>
        <v>266267.40000000002</v>
      </c>
      <c r="BE12" s="278">
        <f t="shared" si="13"/>
        <v>154781.87</v>
      </c>
      <c r="BF12" s="278">
        <f t="shared" si="14"/>
        <v>243537.66999999998</v>
      </c>
      <c r="BG12" s="255">
        <f t="shared" si="15"/>
        <v>730613</v>
      </c>
    </row>
    <row r="13" spans="1:59" x14ac:dyDescent="0.25">
      <c r="A13" s="391"/>
      <c r="B13" s="92" t="s">
        <v>301</v>
      </c>
      <c r="C13" s="93" t="s">
        <v>303</v>
      </c>
      <c r="D13" s="80">
        <f t="shared" si="0"/>
        <v>2695011</v>
      </c>
      <c r="E13" s="80">
        <f t="shared" si="1"/>
        <v>224584.25</v>
      </c>
      <c r="F13" s="83">
        <v>0</v>
      </c>
      <c r="G13" s="94">
        <f t="shared" si="2"/>
        <v>224584.25</v>
      </c>
      <c r="H13" s="397"/>
      <c r="I13" s="384"/>
      <c r="J13" s="393"/>
      <c r="K13" s="384"/>
      <c r="L13" s="384"/>
      <c r="M13" s="83"/>
      <c r="N13" s="93"/>
      <c r="O13" s="95"/>
      <c r="P13" s="93"/>
      <c r="Q13" s="95"/>
      <c r="R13" s="93"/>
      <c r="S13" s="96"/>
      <c r="T13" s="75"/>
      <c r="U13" s="93"/>
      <c r="V13" s="27"/>
      <c r="W13" s="75"/>
      <c r="X13" s="75"/>
      <c r="Y13" s="75"/>
      <c r="Z13" s="75"/>
      <c r="AA13" s="75"/>
      <c r="AB13" s="75"/>
      <c r="AC13" s="75"/>
      <c r="AD13" s="75"/>
      <c r="AE13" s="75"/>
      <c r="AF13" s="27"/>
      <c r="AG13" s="27"/>
      <c r="AH13" s="27">
        <v>28181</v>
      </c>
      <c r="AI13" s="27">
        <v>29182</v>
      </c>
      <c r="AJ13" s="76">
        <v>2</v>
      </c>
      <c r="AK13" s="88" t="s">
        <v>301</v>
      </c>
      <c r="AL13" s="88" t="s">
        <v>303</v>
      </c>
      <c r="AM13" s="89">
        <v>2695011</v>
      </c>
      <c r="AN13" s="27"/>
      <c r="AO13" s="90">
        <f t="shared" si="3"/>
        <v>224584.25</v>
      </c>
      <c r="AP13" s="27"/>
      <c r="AQ13" s="252">
        <v>0</v>
      </c>
      <c r="AR13" s="91">
        <f t="shared" si="4"/>
        <v>-2695011</v>
      </c>
      <c r="AS13" s="176">
        <f t="shared" si="5"/>
        <v>0</v>
      </c>
      <c r="AT13" s="262">
        <f t="shared" si="6"/>
        <v>-224584.25</v>
      </c>
      <c r="AU13" s="261"/>
      <c r="AV13" s="275">
        <f t="shared" si="7"/>
        <v>1572089.75</v>
      </c>
      <c r="AW13" s="222">
        <f t="shared" si="8"/>
        <v>-1572089.75</v>
      </c>
      <c r="AX13" s="27">
        <f t="shared" si="9"/>
        <v>-314417.95</v>
      </c>
      <c r="AY13" s="250"/>
      <c r="AZ13" s="284">
        <v>2588201</v>
      </c>
      <c r="BA13" s="285">
        <f t="shared" si="10"/>
        <v>215683.42</v>
      </c>
      <c r="BC13" s="278">
        <f t="shared" si="11"/>
        <v>-628835.9</v>
      </c>
      <c r="BD13" s="281">
        <f t="shared" si="12"/>
        <v>943253.85</v>
      </c>
      <c r="BE13" s="278">
        <f t="shared" si="13"/>
        <v>548315.72</v>
      </c>
      <c r="BF13" s="278">
        <f t="shared" si="14"/>
        <v>862733.66999999993</v>
      </c>
      <c r="BG13" s="255">
        <f t="shared" si="15"/>
        <v>2588201</v>
      </c>
    </row>
    <row r="14" spans="1:59" x14ac:dyDescent="0.25">
      <c r="A14" s="391"/>
      <c r="B14" s="92" t="s">
        <v>304</v>
      </c>
      <c r="C14" s="93" t="s">
        <v>305</v>
      </c>
      <c r="D14" s="80">
        <f t="shared" si="0"/>
        <v>2309817</v>
      </c>
      <c r="E14" s="80">
        <f t="shared" si="1"/>
        <v>192484.75</v>
      </c>
      <c r="F14" s="83">
        <v>0</v>
      </c>
      <c r="G14" s="94">
        <f t="shared" si="2"/>
        <v>192484.75</v>
      </c>
      <c r="H14" s="397"/>
      <c r="I14" s="384"/>
      <c r="J14" s="393"/>
      <c r="K14" s="384"/>
      <c r="L14" s="384"/>
      <c r="M14" s="83"/>
      <c r="N14" s="93"/>
      <c r="O14" s="95"/>
      <c r="P14" s="93"/>
      <c r="Q14" s="95"/>
      <c r="R14" s="93"/>
      <c r="S14" s="96"/>
      <c r="T14" s="75"/>
      <c r="U14" s="93"/>
      <c r="V14" s="27"/>
      <c r="W14" s="75"/>
      <c r="X14" s="75"/>
      <c r="Y14" s="75"/>
      <c r="Z14" s="75"/>
      <c r="AA14" s="75"/>
      <c r="AB14" s="75"/>
      <c r="AC14" s="75"/>
      <c r="AD14" s="75"/>
      <c r="AE14" s="75"/>
      <c r="AF14" s="27"/>
      <c r="AG14" s="27"/>
      <c r="AH14" s="27">
        <v>3183</v>
      </c>
      <c r="AI14" s="27">
        <v>3190</v>
      </c>
      <c r="AJ14" s="76">
        <v>1</v>
      </c>
      <c r="AK14" s="88" t="s">
        <v>304</v>
      </c>
      <c r="AL14" s="88" t="s">
        <v>305</v>
      </c>
      <c r="AM14" s="89">
        <v>2309817</v>
      </c>
      <c r="AN14" s="27"/>
      <c r="AO14" s="90">
        <f t="shared" si="3"/>
        <v>192484.75</v>
      </c>
      <c r="AP14" s="27"/>
      <c r="AQ14" s="253">
        <v>0</v>
      </c>
      <c r="AR14" s="91">
        <f t="shared" si="4"/>
        <v>-2309817</v>
      </c>
      <c r="AS14" s="176">
        <f t="shared" si="5"/>
        <v>0</v>
      </c>
      <c r="AT14" s="262">
        <f t="shared" si="6"/>
        <v>-192484.75</v>
      </c>
      <c r="AU14" s="261"/>
      <c r="AV14" s="275">
        <f t="shared" si="7"/>
        <v>1347393.25</v>
      </c>
      <c r="AW14" s="222">
        <f t="shared" si="8"/>
        <v>-1347393.25</v>
      </c>
      <c r="AX14" s="27">
        <f t="shared" si="9"/>
        <v>-269478.65000000002</v>
      </c>
      <c r="AY14" s="250"/>
      <c r="AZ14" s="284">
        <v>2218273</v>
      </c>
      <c r="BA14" s="285">
        <f t="shared" si="10"/>
        <v>184856.08</v>
      </c>
      <c r="BC14" s="278">
        <f t="shared" si="11"/>
        <v>-538957.30000000005</v>
      </c>
      <c r="BD14" s="281">
        <f t="shared" si="12"/>
        <v>808435.95</v>
      </c>
      <c r="BE14" s="278">
        <f t="shared" si="13"/>
        <v>469945.68</v>
      </c>
      <c r="BF14" s="278">
        <f t="shared" si="14"/>
        <v>739424.33000000007</v>
      </c>
      <c r="BG14" s="255">
        <f t="shared" si="15"/>
        <v>2218273</v>
      </c>
    </row>
    <row r="15" spans="1:59" x14ac:dyDescent="0.25">
      <c r="A15" s="391"/>
      <c r="B15" s="92" t="s">
        <v>304</v>
      </c>
      <c r="C15" s="93" t="s">
        <v>306</v>
      </c>
      <c r="D15" s="80">
        <f t="shared" si="0"/>
        <v>1680636</v>
      </c>
      <c r="E15" s="80">
        <f t="shared" si="1"/>
        <v>140053</v>
      </c>
      <c r="F15" s="83">
        <v>0</v>
      </c>
      <c r="G15" s="94">
        <f t="shared" si="2"/>
        <v>140053</v>
      </c>
      <c r="H15" s="397"/>
      <c r="I15" s="384"/>
      <c r="J15" s="393"/>
      <c r="K15" s="384"/>
      <c r="L15" s="384"/>
      <c r="M15" s="83"/>
      <c r="N15" s="93"/>
      <c r="O15" s="95"/>
      <c r="P15" s="93"/>
      <c r="Q15" s="95"/>
      <c r="R15" s="93"/>
      <c r="S15" s="96"/>
      <c r="T15" s="75"/>
      <c r="U15" s="93"/>
      <c r="V15" s="27"/>
      <c r="W15" s="75"/>
      <c r="X15" s="75"/>
      <c r="Y15" s="75"/>
      <c r="Z15" s="75"/>
      <c r="AA15" s="75"/>
      <c r="AB15" s="75"/>
      <c r="AC15" s="75"/>
      <c r="AD15" s="75"/>
      <c r="AE15" s="75"/>
      <c r="AF15" s="27"/>
      <c r="AG15" s="27"/>
      <c r="AH15" s="27">
        <v>3301</v>
      </c>
      <c r="AI15" s="27">
        <v>29182</v>
      </c>
      <c r="AJ15" s="76">
        <v>2</v>
      </c>
      <c r="AK15" s="88" t="s">
        <v>304</v>
      </c>
      <c r="AL15" s="88" t="s">
        <v>306</v>
      </c>
      <c r="AM15" s="89">
        <v>1680636</v>
      </c>
      <c r="AN15" s="27"/>
      <c r="AO15" s="90">
        <f t="shared" si="3"/>
        <v>140053</v>
      </c>
      <c r="AP15" s="27"/>
      <c r="AQ15" s="252">
        <v>0</v>
      </c>
      <c r="AR15" s="91">
        <f t="shared" si="4"/>
        <v>-1680636</v>
      </c>
      <c r="AS15" s="176">
        <f t="shared" si="5"/>
        <v>0</v>
      </c>
      <c r="AT15" s="262">
        <f t="shared" si="6"/>
        <v>-140053</v>
      </c>
      <c r="AU15" s="261"/>
      <c r="AV15" s="275">
        <f t="shared" si="7"/>
        <v>980371</v>
      </c>
      <c r="AW15" s="222">
        <f t="shared" si="8"/>
        <v>-980371</v>
      </c>
      <c r="AX15" s="27">
        <f t="shared" si="9"/>
        <v>-196074.2</v>
      </c>
      <c r="AY15" s="250"/>
      <c r="AZ15" s="284">
        <v>1614028</v>
      </c>
      <c r="BA15" s="285">
        <f t="shared" si="10"/>
        <v>134502.32999999999</v>
      </c>
      <c r="BC15" s="278">
        <f t="shared" si="11"/>
        <v>-392148.4</v>
      </c>
      <c r="BD15" s="281">
        <f t="shared" si="12"/>
        <v>588222.6</v>
      </c>
      <c r="BE15" s="278">
        <f t="shared" si="13"/>
        <v>341935.13</v>
      </c>
      <c r="BF15" s="278">
        <f t="shared" si="14"/>
        <v>538009.33000000007</v>
      </c>
      <c r="BG15" s="255">
        <f t="shared" si="15"/>
        <v>1614028</v>
      </c>
    </row>
    <row r="16" spans="1:59" x14ac:dyDescent="0.25">
      <c r="A16" s="391"/>
      <c r="B16" s="92" t="s">
        <v>304</v>
      </c>
      <c r="C16" s="93" t="s">
        <v>307</v>
      </c>
      <c r="D16" s="80">
        <f t="shared" si="0"/>
        <v>1866483</v>
      </c>
      <c r="E16" s="80">
        <f t="shared" si="1"/>
        <v>155540.25</v>
      </c>
      <c r="F16" s="83">
        <v>0</v>
      </c>
      <c r="G16" s="94">
        <f t="shared" si="2"/>
        <v>155540.25</v>
      </c>
      <c r="H16" s="397"/>
      <c r="I16" s="384"/>
      <c r="J16" s="393"/>
      <c r="K16" s="384"/>
      <c r="L16" s="384"/>
      <c r="M16" s="83"/>
      <c r="N16" s="93"/>
      <c r="O16" s="95"/>
      <c r="P16" s="93"/>
      <c r="Q16" s="95"/>
      <c r="R16" s="93"/>
      <c r="S16" s="96"/>
      <c r="T16" s="75"/>
      <c r="U16" s="93"/>
      <c r="V16" s="27"/>
      <c r="W16" s="75"/>
      <c r="X16" s="75"/>
      <c r="Y16" s="75"/>
      <c r="Z16" s="75"/>
      <c r="AA16" s="75"/>
      <c r="AB16" s="75"/>
      <c r="AC16" s="75"/>
      <c r="AD16" s="75"/>
      <c r="AE16" s="75"/>
      <c r="AF16" s="27"/>
      <c r="AG16" s="27"/>
      <c r="AH16" s="27">
        <v>3301</v>
      </c>
      <c r="AI16" s="27">
        <v>4411</v>
      </c>
      <c r="AJ16" s="76">
        <v>1</v>
      </c>
      <c r="AK16" s="88" t="s">
        <v>304</v>
      </c>
      <c r="AL16" s="88" t="s">
        <v>307</v>
      </c>
      <c r="AM16" s="89">
        <v>1866483</v>
      </c>
      <c r="AN16" s="27"/>
      <c r="AO16" s="90">
        <f t="shared" si="3"/>
        <v>155540.25</v>
      </c>
      <c r="AP16" s="27"/>
      <c r="AQ16" s="252">
        <v>0</v>
      </c>
      <c r="AR16" s="91">
        <f t="shared" si="4"/>
        <v>-1866483</v>
      </c>
      <c r="AS16" s="176">
        <f t="shared" si="5"/>
        <v>0</v>
      </c>
      <c r="AT16" s="262">
        <f t="shared" si="6"/>
        <v>-155540.25</v>
      </c>
      <c r="AU16" s="261"/>
      <c r="AV16" s="275">
        <f t="shared" si="7"/>
        <v>1088781.75</v>
      </c>
      <c r="AW16" s="222">
        <f t="shared" si="8"/>
        <v>-1088781.75</v>
      </c>
      <c r="AX16" s="27">
        <f t="shared" si="9"/>
        <v>-217756.35</v>
      </c>
      <c r="AY16" s="250"/>
      <c r="AZ16" s="284">
        <v>1792510</v>
      </c>
      <c r="BA16" s="285">
        <f t="shared" si="10"/>
        <v>149375.82999999999</v>
      </c>
      <c r="BC16" s="278">
        <f t="shared" si="11"/>
        <v>-435512.7</v>
      </c>
      <c r="BD16" s="281">
        <f t="shared" si="12"/>
        <v>653269.05000000005</v>
      </c>
      <c r="BE16" s="278">
        <f t="shared" si="13"/>
        <v>379746.98</v>
      </c>
      <c r="BF16" s="278">
        <f t="shared" si="14"/>
        <v>597503.32999999996</v>
      </c>
      <c r="BG16" s="255">
        <f t="shared" si="15"/>
        <v>1792510</v>
      </c>
    </row>
    <row r="17" spans="1:59" x14ac:dyDescent="0.25">
      <c r="A17" s="391"/>
      <c r="B17" s="92" t="s">
        <v>308</v>
      </c>
      <c r="C17" s="93" t="s">
        <v>309</v>
      </c>
      <c r="D17" s="80">
        <f t="shared" si="0"/>
        <v>3463905</v>
      </c>
      <c r="E17" s="80">
        <f t="shared" si="1"/>
        <v>288658.75</v>
      </c>
      <c r="F17" s="83">
        <v>0</v>
      </c>
      <c r="G17" s="94">
        <f t="shared" si="2"/>
        <v>288658.75</v>
      </c>
      <c r="H17" s="397"/>
      <c r="I17" s="384"/>
      <c r="J17" s="393"/>
      <c r="K17" s="384"/>
      <c r="L17" s="384"/>
      <c r="M17" s="83"/>
      <c r="N17" s="93"/>
      <c r="O17" s="95"/>
      <c r="P17" s="93"/>
      <c r="Q17" s="95"/>
      <c r="R17" s="93"/>
      <c r="S17" s="96"/>
      <c r="T17" s="75"/>
      <c r="U17" s="93"/>
      <c r="V17" s="27"/>
      <c r="W17" s="75"/>
      <c r="X17" s="75"/>
      <c r="Y17" s="75"/>
      <c r="Z17" s="75"/>
      <c r="AA17" s="75"/>
      <c r="AB17" s="75"/>
      <c r="AC17" s="75"/>
      <c r="AD17" s="75"/>
      <c r="AE17" s="75"/>
      <c r="AF17" s="27"/>
      <c r="AG17" s="27"/>
      <c r="AH17" s="27">
        <v>4402</v>
      </c>
      <c r="AI17" s="27">
        <v>4411</v>
      </c>
      <c r="AJ17" s="76">
        <v>1</v>
      </c>
      <c r="AK17" s="88" t="s">
        <v>308</v>
      </c>
      <c r="AL17" s="88" t="s">
        <v>309</v>
      </c>
      <c r="AM17" s="89">
        <v>3463905</v>
      </c>
      <c r="AN17" s="27"/>
      <c r="AO17" s="90">
        <f t="shared" si="3"/>
        <v>288658.75</v>
      </c>
      <c r="AP17" s="27"/>
      <c r="AQ17" s="252">
        <v>0</v>
      </c>
      <c r="AR17" s="91">
        <f t="shared" si="4"/>
        <v>-3463905</v>
      </c>
      <c r="AS17" s="176">
        <f t="shared" si="5"/>
        <v>0</v>
      </c>
      <c r="AT17" s="262">
        <f t="shared" si="6"/>
        <v>-288658.75</v>
      </c>
      <c r="AU17" s="261"/>
      <c r="AV17" s="275">
        <f t="shared" si="7"/>
        <v>2020611.25</v>
      </c>
      <c r="AW17" s="222">
        <f t="shared" si="8"/>
        <v>-2020611.25</v>
      </c>
      <c r="AX17" s="27">
        <f t="shared" si="9"/>
        <v>-404122.25</v>
      </c>
      <c r="AY17" s="250"/>
      <c r="AZ17" s="284">
        <v>3326622</v>
      </c>
      <c r="BA17" s="285">
        <f t="shared" si="10"/>
        <v>277218.5</v>
      </c>
      <c r="BC17" s="278">
        <f t="shared" si="11"/>
        <v>-808244.5</v>
      </c>
      <c r="BD17" s="281">
        <f t="shared" si="12"/>
        <v>1212366.75</v>
      </c>
      <c r="BE17" s="278">
        <f t="shared" si="13"/>
        <v>704751.75</v>
      </c>
      <c r="BF17" s="278">
        <f t="shared" si="14"/>
        <v>1108874</v>
      </c>
      <c r="BG17" s="255">
        <f t="shared" si="15"/>
        <v>3326622</v>
      </c>
    </row>
    <row r="18" spans="1:59" x14ac:dyDescent="0.25">
      <c r="A18" s="391"/>
      <c r="B18" s="92" t="s">
        <v>308</v>
      </c>
      <c r="C18" s="93" t="s">
        <v>310</v>
      </c>
      <c r="D18" s="80">
        <f t="shared" si="0"/>
        <v>3459894</v>
      </c>
      <c r="E18" s="80">
        <f t="shared" si="1"/>
        <v>288324.5</v>
      </c>
      <c r="F18" s="83">
        <v>0</v>
      </c>
      <c r="G18" s="94">
        <f t="shared" si="2"/>
        <v>288324.5</v>
      </c>
      <c r="H18" s="397"/>
      <c r="I18" s="384"/>
      <c r="J18" s="393"/>
      <c r="K18" s="384"/>
      <c r="L18" s="384"/>
      <c r="M18" s="83"/>
      <c r="N18" s="93"/>
      <c r="O18" s="95"/>
      <c r="P18" s="93"/>
      <c r="Q18" s="97"/>
      <c r="R18" s="93"/>
      <c r="S18" s="96"/>
      <c r="T18" s="75"/>
      <c r="U18" s="93"/>
      <c r="V18" s="27"/>
      <c r="W18" s="75"/>
      <c r="X18" s="75"/>
      <c r="Y18" s="75"/>
      <c r="Z18" s="75"/>
      <c r="AA18" s="75"/>
      <c r="AB18" s="75"/>
      <c r="AC18" s="75"/>
      <c r="AD18" s="75"/>
      <c r="AE18" s="75"/>
      <c r="AF18" s="27"/>
      <c r="AG18" s="27"/>
      <c r="AH18" s="27">
        <v>4406</v>
      </c>
      <c r="AI18" s="27">
        <v>4412</v>
      </c>
      <c r="AJ18" s="76">
        <v>1</v>
      </c>
      <c r="AK18" s="88" t="s">
        <v>308</v>
      </c>
      <c r="AL18" s="88" t="s">
        <v>310</v>
      </c>
      <c r="AM18" s="89">
        <v>3459894</v>
      </c>
      <c r="AN18" s="27"/>
      <c r="AO18" s="90">
        <f t="shared" si="3"/>
        <v>288324.5</v>
      </c>
      <c r="AP18" s="27"/>
      <c r="AQ18" s="252">
        <v>0</v>
      </c>
      <c r="AR18" s="91">
        <f t="shared" si="4"/>
        <v>-3459894</v>
      </c>
      <c r="AS18" s="176">
        <f t="shared" si="5"/>
        <v>0</v>
      </c>
      <c r="AT18" s="262">
        <f t="shared" si="6"/>
        <v>-288324.5</v>
      </c>
      <c r="AU18" s="261"/>
      <c r="AV18" s="275">
        <f t="shared" si="7"/>
        <v>2018271.5</v>
      </c>
      <c r="AW18" s="222">
        <f t="shared" si="8"/>
        <v>-2018271.5</v>
      </c>
      <c r="AX18" s="27">
        <f t="shared" si="9"/>
        <v>-403654.3</v>
      </c>
      <c r="AY18" s="250"/>
      <c r="AZ18" s="284">
        <v>3322770</v>
      </c>
      <c r="BA18" s="285">
        <f t="shared" si="10"/>
        <v>276897.5</v>
      </c>
      <c r="BC18" s="278">
        <f t="shared" si="11"/>
        <v>-807308.6</v>
      </c>
      <c r="BD18" s="281">
        <f t="shared" si="12"/>
        <v>1210962.8999999999</v>
      </c>
      <c r="BE18" s="278">
        <f t="shared" si="13"/>
        <v>703935.7</v>
      </c>
      <c r="BF18" s="278">
        <f t="shared" si="14"/>
        <v>1107590</v>
      </c>
      <c r="BG18" s="255">
        <f t="shared" si="15"/>
        <v>3322770</v>
      </c>
    </row>
    <row r="19" spans="1:59" x14ac:dyDescent="0.25">
      <c r="A19" s="391"/>
      <c r="B19" s="92" t="s">
        <v>311</v>
      </c>
      <c r="C19" s="93" t="s">
        <v>312</v>
      </c>
      <c r="D19" s="80">
        <f t="shared" si="0"/>
        <v>4766119</v>
      </c>
      <c r="E19" s="80">
        <f t="shared" si="1"/>
        <v>397176.58</v>
      </c>
      <c r="F19" s="83">
        <v>0</v>
      </c>
      <c r="G19" s="94">
        <f t="shared" si="2"/>
        <v>397176.58</v>
      </c>
      <c r="H19" s="397"/>
      <c r="I19" s="384"/>
      <c r="J19" s="393"/>
      <c r="K19" s="384"/>
      <c r="L19" s="384"/>
      <c r="M19" s="83"/>
      <c r="N19" s="93"/>
      <c r="O19" s="95"/>
      <c r="P19" s="93"/>
      <c r="Q19" s="95"/>
      <c r="R19" s="98"/>
      <c r="S19" s="96"/>
      <c r="T19" s="75"/>
      <c r="U19" s="98"/>
      <c r="V19" s="27"/>
      <c r="W19" s="75"/>
      <c r="X19" s="75"/>
      <c r="Y19" s="75"/>
      <c r="Z19" s="75"/>
      <c r="AA19" s="75"/>
      <c r="AB19" s="75"/>
      <c r="AC19" s="75"/>
      <c r="AD19" s="75"/>
      <c r="AE19" s="75"/>
      <c r="AF19" s="27"/>
      <c r="AG19" s="27"/>
      <c r="AH19" s="27">
        <v>4412</v>
      </c>
      <c r="AI19" s="27">
        <v>50050</v>
      </c>
      <c r="AJ19" s="76">
        <v>1</v>
      </c>
      <c r="AK19" s="88" t="s">
        <v>311</v>
      </c>
      <c r="AL19" s="88" t="s">
        <v>312</v>
      </c>
      <c r="AM19" s="89">
        <v>4766119</v>
      </c>
      <c r="AN19" s="27"/>
      <c r="AO19" s="90">
        <f t="shared" si="3"/>
        <v>397176.58</v>
      </c>
      <c r="AP19" s="27"/>
      <c r="AQ19" s="252">
        <v>0</v>
      </c>
      <c r="AR19" s="91">
        <f t="shared" si="4"/>
        <v>-4766119</v>
      </c>
      <c r="AS19" s="176">
        <f t="shared" si="5"/>
        <v>0</v>
      </c>
      <c r="AT19" s="262">
        <f t="shared" si="6"/>
        <v>-397176.58</v>
      </c>
      <c r="AU19" s="261"/>
      <c r="AV19" s="275">
        <f t="shared" si="7"/>
        <v>2780236.06</v>
      </c>
      <c r="AW19" s="222">
        <f t="shared" si="8"/>
        <v>-2780236.06</v>
      </c>
      <c r="AX19" s="27">
        <f t="shared" si="9"/>
        <v>-556047.21</v>
      </c>
      <c r="AY19" s="250"/>
      <c r="AZ19" s="284">
        <v>4577226</v>
      </c>
      <c r="BA19" s="285">
        <f t="shared" si="10"/>
        <v>381435.5</v>
      </c>
      <c r="BC19" s="278">
        <f t="shared" si="11"/>
        <v>-1112094.42</v>
      </c>
      <c r="BD19" s="281">
        <f t="shared" si="12"/>
        <v>1668141.6400000001</v>
      </c>
      <c r="BE19" s="278">
        <f t="shared" si="13"/>
        <v>969694.79</v>
      </c>
      <c r="BF19" s="278">
        <f t="shared" si="14"/>
        <v>1525742</v>
      </c>
      <c r="BG19" s="255">
        <f t="shared" si="15"/>
        <v>4577226</v>
      </c>
    </row>
    <row r="20" spans="1:59" x14ac:dyDescent="0.25">
      <c r="A20" s="391"/>
      <c r="B20" s="92" t="s">
        <v>311</v>
      </c>
      <c r="C20" s="93" t="s">
        <v>313</v>
      </c>
      <c r="D20" s="80">
        <f t="shared" si="0"/>
        <v>955270</v>
      </c>
      <c r="E20" s="80">
        <f t="shared" si="1"/>
        <v>79605.83</v>
      </c>
      <c r="F20" s="83">
        <v>0</v>
      </c>
      <c r="G20" s="94">
        <f t="shared" si="2"/>
        <v>79605.83</v>
      </c>
      <c r="H20" s="397"/>
      <c r="I20" s="384"/>
      <c r="J20" s="393"/>
      <c r="K20" s="384"/>
      <c r="L20" s="384"/>
      <c r="M20" s="83"/>
      <c r="N20" s="93"/>
      <c r="O20" s="95"/>
      <c r="P20" s="93"/>
      <c r="Q20" s="95"/>
      <c r="R20" s="93"/>
      <c r="S20" s="99"/>
      <c r="T20" s="75"/>
      <c r="U20" s="93"/>
      <c r="V20" s="27"/>
      <c r="W20" s="100"/>
      <c r="X20" s="100"/>
      <c r="Y20" s="100"/>
      <c r="Z20" s="100"/>
      <c r="AA20" s="100"/>
      <c r="AB20" s="100"/>
      <c r="AC20" s="100"/>
      <c r="AD20" s="100"/>
      <c r="AE20" s="100"/>
      <c r="AF20" s="27"/>
      <c r="AG20" s="27"/>
      <c r="AH20" s="27">
        <v>6500</v>
      </c>
      <c r="AI20" s="27">
        <v>56050</v>
      </c>
      <c r="AJ20" s="76">
        <v>1</v>
      </c>
      <c r="AK20" s="88" t="s">
        <v>311</v>
      </c>
      <c r="AL20" s="88" t="s">
        <v>313</v>
      </c>
      <c r="AM20" s="89">
        <v>955270</v>
      </c>
      <c r="AN20" s="27"/>
      <c r="AO20" s="90">
        <f t="shared" si="3"/>
        <v>79605.83</v>
      </c>
      <c r="AP20" s="27"/>
      <c r="AQ20" s="252">
        <v>0</v>
      </c>
      <c r="AR20" s="91">
        <f t="shared" si="4"/>
        <v>-955270</v>
      </c>
      <c r="AS20" s="176">
        <f t="shared" si="5"/>
        <v>0</v>
      </c>
      <c r="AT20" s="262">
        <f t="shared" si="6"/>
        <v>-79605.83</v>
      </c>
      <c r="AU20" s="261"/>
      <c r="AV20" s="275">
        <f t="shared" si="7"/>
        <v>557240.81000000006</v>
      </c>
      <c r="AW20" s="222">
        <f t="shared" si="8"/>
        <v>-557240.81000000006</v>
      </c>
      <c r="AX20" s="27">
        <f t="shared" si="9"/>
        <v>-111448.16</v>
      </c>
      <c r="AY20" s="250"/>
      <c r="AZ20" s="284">
        <v>917410</v>
      </c>
      <c r="BA20" s="285">
        <f t="shared" si="10"/>
        <v>76450.83</v>
      </c>
      <c r="BC20" s="278">
        <f t="shared" si="11"/>
        <v>-222896.32</v>
      </c>
      <c r="BD20" s="281">
        <f t="shared" si="12"/>
        <v>334344.49000000005</v>
      </c>
      <c r="BE20" s="278">
        <f t="shared" si="13"/>
        <v>194355.17</v>
      </c>
      <c r="BF20" s="278">
        <f t="shared" si="14"/>
        <v>305803.33</v>
      </c>
      <c r="BG20" s="255">
        <f t="shared" si="15"/>
        <v>917410</v>
      </c>
    </row>
    <row r="21" spans="1:59" x14ac:dyDescent="0.25">
      <c r="A21" s="392"/>
      <c r="B21" s="104" t="s">
        <v>285</v>
      </c>
      <c r="C21" s="93" t="s">
        <v>315</v>
      </c>
      <c r="D21" s="80">
        <f t="shared" si="0"/>
        <v>190336</v>
      </c>
      <c r="E21" s="80">
        <f t="shared" si="1"/>
        <v>15861.33</v>
      </c>
      <c r="F21" s="106">
        <v>0</v>
      </c>
      <c r="G21" s="94">
        <f t="shared" si="2"/>
        <v>15861.33</v>
      </c>
      <c r="H21" s="398"/>
      <c r="I21" s="386"/>
      <c r="J21" s="394"/>
      <c r="K21" s="386"/>
      <c r="L21" s="386"/>
      <c r="M21" s="106"/>
      <c r="N21" s="93"/>
      <c r="O21" s="95"/>
      <c r="P21" s="93"/>
      <c r="Q21" s="95"/>
      <c r="R21" s="93"/>
      <c r="S21" s="99"/>
      <c r="T21" s="100"/>
      <c r="U21" s="93"/>
      <c r="V21" s="27"/>
      <c r="W21" s="100"/>
      <c r="X21" s="100"/>
      <c r="Y21" s="100"/>
      <c r="Z21" s="100"/>
      <c r="AA21" s="100"/>
      <c r="AB21" s="100"/>
      <c r="AC21" s="100"/>
      <c r="AD21" s="100"/>
      <c r="AE21" s="100"/>
      <c r="AF21" s="27"/>
      <c r="AG21" s="27"/>
      <c r="AH21" s="27">
        <v>6440</v>
      </c>
      <c r="AI21" s="27">
        <v>6500</v>
      </c>
      <c r="AJ21" s="76" t="s">
        <v>441</v>
      </c>
      <c r="AK21" s="88" t="s">
        <v>285</v>
      </c>
      <c r="AL21" s="88" t="s">
        <v>315</v>
      </c>
      <c r="AM21" s="89">
        <v>190336</v>
      </c>
      <c r="AN21" s="27"/>
      <c r="AO21" s="90">
        <f t="shared" si="3"/>
        <v>15861.33</v>
      </c>
      <c r="AP21" s="27"/>
      <c r="AQ21" s="252">
        <v>0</v>
      </c>
      <c r="AR21" s="91">
        <f t="shared" si="4"/>
        <v>-190336</v>
      </c>
      <c r="AS21" s="176">
        <f t="shared" si="5"/>
        <v>0</v>
      </c>
      <c r="AT21" s="262">
        <f t="shared" si="6"/>
        <v>-15861.33</v>
      </c>
      <c r="AU21" s="261"/>
      <c r="AV21" s="275">
        <f t="shared" si="7"/>
        <v>111029.31</v>
      </c>
      <c r="AW21" s="222">
        <f t="shared" si="8"/>
        <v>-111029.31</v>
      </c>
      <c r="AX21" s="27">
        <f t="shared" si="9"/>
        <v>-22205.86</v>
      </c>
      <c r="AY21" s="250"/>
      <c r="AZ21" s="284">
        <v>182793</v>
      </c>
      <c r="BA21" s="285">
        <f t="shared" si="10"/>
        <v>15232.75</v>
      </c>
      <c r="BC21" s="278">
        <f t="shared" si="11"/>
        <v>-44411.72</v>
      </c>
      <c r="BD21" s="281">
        <f t="shared" si="12"/>
        <v>66617.59</v>
      </c>
      <c r="BE21" s="278">
        <f t="shared" si="13"/>
        <v>38725.14</v>
      </c>
      <c r="BF21" s="278">
        <f t="shared" si="14"/>
        <v>60931</v>
      </c>
      <c r="BG21" s="255">
        <f t="shared" si="15"/>
        <v>182793</v>
      </c>
    </row>
    <row r="22" spans="1:59" x14ac:dyDescent="0.25">
      <c r="A22" s="27"/>
      <c r="B22" s="27"/>
      <c r="C22" s="113" t="s">
        <v>317</v>
      </c>
      <c r="D22" s="115">
        <f>SUM(D10:D21)</f>
        <v>26849606</v>
      </c>
      <c r="E22" s="115">
        <f>SUM(E10:E21)</f>
        <v>2237467.16</v>
      </c>
      <c r="F22" s="115">
        <f>SUM(F10:F21)</f>
        <v>0</v>
      </c>
      <c r="G22" s="221">
        <f>SUM(G10:G21)</f>
        <v>2237467.16</v>
      </c>
      <c r="H22" s="117"/>
      <c r="I22" s="118">
        <f>SUM(I10:I21)</f>
        <v>0</v>
      </c>
      <c r="J22" s="119">
        <f>SUM(J10:J21)</f>
        <v>0</v>
      </c>
      <c r="K22" s="330">
        <f>SUM(K10:K21)</f>
        <v>0</v>
      </c>
      <c r="L22" s="294"/>
      <c r="M22" s="220">
        <f>+G22-K22</f>
        <v>2237467.16</v>
      </c>
      <c r="N22" s="121">
        <f t="shared" ref="N22:S22" si="16">SUM(N10:N21)</f>
        <v>0</v>
      </c>
      <c r="O22" s="121">
        <f t="shared" si="16"/>
        <v>0</v>
      </c>
      <c r="P22" s="121">
        <f t="shared" si="16"/>
        <v>0</v>
      </c>
      <c r="Q22" s="121">
        <f t="shared" si="16"/>
        <v>0</v>
      </c>
      <c r="R22" s="121">
        <f t="shared" si="16"/>
        <v>0</v>
      </c>
      <c r="S22" s="121">
        <f t="shared" si="16"/>
        <v>0</v>
      </c>
      <c r="T22" s="122"/>
      <c r="U22" s="323"/>
      <c r="V22" s="27"/>
      <c r="W22" s="75"/>
      <c r="X22" s="75"/>
      <c r="Y22" s="75"/>
      <c r="Z22" s="75"/>
      <c r="AA22" s="75"/>
      <c r="AB22" s="75"/>
      <c r="AC22" s="75"/>
      <c r="AD22" s="75"/>
      <c r="AE22" s="75"/>
      <c r="AF22" s="27"/>
      <c r="AG22" s="27"/>
      <c r="AH22" s="27"/>
      <c r="AI22" s="27"/>
      <c r="AJ22" s="76"/>
      <c r="AK22" s="123" t="s">
        <v>9</v>
      </c>
      <c r="AL22" s="27"/>
      <c r="AM22" s="124">
        <f>SUM(AM10:AM21)</f>
        <v>26849606</v>
      </c>
      <c r="AN22" s="27"/>
      <c r="AO22" s="27"/>
      <c r="AP22" s="27"/>
      <c r="AQ22" s="222">
        <v>0</v>
      </c>
      <c r="AR22" s="91"/>
      <c r="AS22" s="176"/>
      <c r="AT22" s="262"/>
      <c r="AU22" s="261"/>
      <c r="AV22" s="275"/>
      <c r="AW22" s="222"/>
      <c r="AX22" s="27">
        <f t="shared" si="9"/>
        <v>0</v>
      </c>
      <c r="AY22" s="250"/>
      <c r="AZ22" s="284"/>
      <c r="BA22" s="285"/>
      <c r="BC22" s="278"/>
      <c r="BD22" s="281"/>
      <c r="BE22" s="278"/>
      <c r="BF22" s="278">
        <f t="shared" si="14"/>
        <v>0</v>
      </c>
      <c r="BG22" s="255"/>
    </row>
    <row r="23" spans="1:59" ht="18.75" customHeight="1" x14ac:dyDescent="0.25">
      <c r="A23" s="383" t="s">
        <v>318</v>
      </c>
      <c r="B23" s="125" t="s">
        <v>297</v>
      </c>
      <c r="C23" s="125" t="s">
        <v>319</v>
      </c>
      <c r="D23" s="126">
        <f t="shared" si="0"/>
        <v>2411349</v>
      </c>
      <c r="E23" s="127">
        <f t="shared" ref="E23:E30" si="17">AO23</f>
        <v>200945.75</v>
      </c>
      <c r="F23" s="128">
        <v>0</v>
      </c>
      <c r="G23" s="128">
        <f t="shared" ref="G23:G36" si="18">+E23-F23</f>
        <v>200945.75</v>
      </c>
      <c r="H23" s="399">
        <v>6156631.3300000001</v>
      </c>
      <c r="I23" s="402">
        <v>0</v>
      </c>
      <c r="J23" s="402">
        <f>ROUND(IF(I23*H23&lt;=(D37/2),I23*H23,D37/2),2)</f>
        <v>0</v>
      </c>
      <c r="K23" s="402">
        <f>ROUND(+J23/6,2)</f>
        <v>0</v>
      </c>
      <c r="L23" s="356">
        <f>$K$23*(N5/$U$5)-E48+F48</f>
        <v>144578.91</v>
      </c>
      <c r="M23" s="356">
        <f>IF((G23+G24+G25)-L23&lt;0,0,(G23+G24+G25)-L23)</f>
        <v>359706.66999999993</v>
      </c>
      <c r="N23" s="361">
        <f t="shared" ref="N23" si="19">+M23</f>
        <v>359706.66999999993</v>
      </c>
      <c r="O23" s="128"/>
      <c r="P23" s="128"/>
      <c r="Q23" s="128"/>
      <c r="R23" s="128"/>
      <c r="S23" s="128"/>
      <c r="T23" s="75"/>
      <c r="U23" s="353">
        <f>ROUND(IF(M23=0,L23-(G23+G24+G25),0),2)</f>
        <v>0</v>
      </c>
      <c r="V23" s="27"/>
      <c r="W23" s="75"/>
      <c r="X23" s="75"/>
      <c r="Y23" s="75"/>
      <c r="Z23" s="75"/>
      <c r="AA23" s="75"/>
      <c r="AB23" s="75"/>
      <c r="AC23" s="75"/>
      <c r="AD23" s="75"/>
      <c r="AE23" s="75"/>
      <c r="AF23" s="27"/>
      <c r="AG23" s="27"/>
      <c r="AH23" s="27">
        <v>1108</v>
      </c>
      <c r="AI23" s="27">
        <v>1771</v>
      </c>
      <c r="AJ23" s="76">
        <v>1</v>
      </c>
      <c r="AK23" s="88" t="s">
        <v>297</v>
      </c>
      <c r="AL23" s="88" t="s">
        <v>319</v>
      </c>
      <c r="AM23" s="130">
        <v>2411349</v>
      </c>
      <c r="AN23" s="27"/>
      <c r="AO23" s="90">
        <f t="shared" ref="AO23:AO36" si="20">ROUND(+AM23/12,2)</f>
        <v>200945.75</v>
      </c>
      <c r="AP23" s="27"/>
      <c r="AQ23" s="222">
        <v>0</v>
      </c>
      <c r="AR23" s="91">
        <f t="shared" si="4"/>
        <v>-2411349</v>
      </c>
      <c r="AS23" s="176">
        <f t="shared" si="5"/>
        <v>0</v>
      </c>
      <c r="AT23" s="262">
        <f t="shared" si="6"/>
        <v>-200945.75</v>
      </c>
      <c r="AU23" s="261"/>
      <c r="AV23" s="275">
        <f t="shared" si="7"/>
        <v>1406620.25</v>
      </c>
      <c r="AW23" s="222">
        <f t="shared" si="8"/>
        <v>-1406620.25</v>
      </c>
      <c r="AX23" s="27">
        <f t="shared" si="9"/>
        <v>-281324.05</v>
      </c>
      <c r="AY23" s="250"/>
      <c r="AZ23" s="284">
        <v>2424681</v>
      </c>
      <c r="BA23" s="285">
        <f t="shared" si="10"/>
        <v>202056.75</v>
      </c>
      <c r="BC23" s="278">
        <f t="shared" si="11"/>
        <v>-562648.1</v>
      </c>
      <c r="BD23" s="281">
        <f t="shared" si="12"/>
        <v>843972.15</v>
      </c>
      <c r="BE23" s="278">
        <f t="shared" si="13"/>
        <v>526902.94999999995</v>
      </c>
      <c r="BF23" s="278">
        <f t="shared" si="14"/>
        <v>808227</v>
      </c>
      <c r="BG23" s="255">
        <f t="shared" si="15"/>
        <v>2424681</v>
      </c>
    </row>
    <row r="24" spans="1:59" ht="18.75" customHeight="1" x14ac:dyDescent="0.25">
      <c r="A24" s="384"/>
      <c r="B24" s="131" t="s">
        <v>297</v>
      </c>
      <c r="C24" s="131" t="s">
        <v>320</v>
      </c>
      <c r="D24" s="132">
        <f t="shared" si="0"/>
        <v>2160181</v>
      </c>
      <c r="E24" s="133">
        <f t="shared" si="17"/>
        <v>180015.08</v>
      </c>
      <c r="F24" s="258">
        <v>0</v>
      </c>
      <c r="G24" s="258">
        <f t="shared" si="18"/>
        <v>180015.08</v>
      </c>
      <c r="H24" s="400"/>
      <c r="I24" s="403"/>
      <c r="J24" s="403"/>
      <c r="K24" s="403"/>
      <c r="L24" s="357"/>
      <c r="M24" s="357"/>
      <c r="N24" s="417"/>
      <c r="O24" s="137"/>
      <c r="P24" s="137"/>
      <c r="Q24" s="137"/>
      <c r="R24" s="137"/>
      <c r="S24" s="137"/>
      <c r="T24" s="75"/>
      <c r="U24" s="354"/>
      <c r="V24" s="27"/>
      <c r="W24" s="75"/>
      <c r="X24" s="75"/>
      <c r="Y24" s="75"/>
      <c r="Z24" s="75"/>
      <c r="AA24" s="75"/>
      <c r="AB24" s="75"/>
      <c r="AC24" s="75"/>
      <c r="AD24" s="75"/>
      <c r="AE24" s="75"/>
      <c r="AF24" s="27"/>
      <c r="AG24" s="27"/>
      <c r="AH24" s="27">
        <v>1710</v>
      </c>
      <c r="AI24" s="27">
        <v>1771</v>
      </c>
      <c r="AJ24" s="76">
        <v>1</v>
      </c>
      <c r="AK24" s="88" t="s">
        <v>297</v>
      </c>
      <c r="AL24" s="88" t="s">
        <v>320</v>
      </c>
      <c r="AM24" s="130">
        <v>2160181</v>
      </c>
      <c r="AN24" s="27"/>
      <c r="AO24" s="90">
        <f t="shared" si="20"/>
        <v>180015.08</v>
      </c>
      <c r="AP24" s="27"/>
      <c r="AQ24" s="222">
        <v>0</v>
      </c>
      <c r="AR24" s="91">
        <f t="shared" si="4"/>
        <v>-2160181</v>
      </c>
      <c r="AS24" s="176">
        <f t="shared" si="5"/>
        <v>0</v>
      </c>
      <c r="AT24" s="262">
        <f t="shared" si="6"/>
        <v>-180015.08</v>
      </c>
      <c r="AU24" s="261"/>
      <c r="AV24" s="275">
        <f t="shared" si="7"/>
        <v>1260105.5599999998</v>
      </c>
      <c r="AW24" s="222">
        <f t="shared" si="8"/>
        <v>-1260105.5599999998</v>
      </c>
      <c r="AX24" s="27">
        <f t="shared" si="9"/>
        <v>-252021.11</v>
      </c>
      <c r="AY24" s="250"/>
      <c r="AZ24" s="284">
        <v>2183467</v>
      </c>
      <c r="BA24" s="285">
        <f t="shared" si="10"/>
        <v>181955.58</v>
      </c>
      <c r="BC24" s="278">
        <f t="shared" si="11"/>
        <v>-504042.22</v>
      </c>
      <c r="BD24" s="281">
        <f t="shared" si="12"/>
        <v>756063.33999999985</v>
      </c>
      <c r="BE24" s="278">
        <f t="shared" si="13"/>
        <v>475801.22</v>
      </c>
      <c r="BF24" s="278">
        <f t="shared" si="14"/>
        <v>727822.33</v>
      </c>
      <c r="BG24" s="255">
        <f t="shared" si="15"/>
        <v>2183467</v>
      </c>
    </row>
    <row r="25" spans="1:59" s="329" customFormat="1" ht="18.75" customHeight="1" x14ac:dyDescent="0.25">
      <c r="A25" s="385"/>
      <c r="B25" s="331" t="s">
        <v>297</v>
      </c>
      <c r="C25" s="331" t="s">
        <v>299</v>
      </c>
      <c r="D25" s="132">
        <f t="shared" si="0"/>
        <v>1479897</v>
      </c>
      <c r="E25" s="133">
        <f t="shared" si="17"/>
        <v>123324.75</v>
      </c>
      <c r="F25" s="333"/>
      <c r="G25" s="333">
        <f t="shared" si="18"/>
        <v>123324.75</v>
      </c>
      <c r="H25" s="400"/>
      <c r="I25" s="403"/>
      <c r="J25" s="403"/>
      <c r="K25" s="403"/>
      <c r="L25" s="358"/>
      <c r="M25" s="358"/>
      <c r="N25" s="362"/>
      <c r="O25" s="258"/>
      <c r="P25" s="258"/>
      <c r="Q25" s="158"/>
      <c r="R25" s="258"/>
      <c r="S25" s="332"/>
      <c r="T25" s="75"/>
      <c r="U25" s="355"/>
      <c r="V25" s="27"/>
      <c r="W25" s="75"/>
      <c r="X25" s="75"/>
      <c r="Y25" s="75"/>
      <c r="Z25" s="75"/>
      <c r="AA25" s="75"/>
      <c r="AB25" s="75"/>
      <c r="AC25" s="75"/>
      <c r="AD25" s="75"/>
      <c r="AE25" s="75"/>
      <c r="AF25" s="27"/>
      <c r="AG25" s="27"/>
      <c r="AH25" s="27">
        <v>1101</v>
      </c>
      <c r="AI25" s="27">
        <v>1124</v>
      </c>
      <c r="AJ25" s="76">
        <v>1</v>
      </c>
      <c r="AK25" s="88" t="s">
        <v>297</v>
      </c>
      <c r="AL25" s="88" t="s">
        <v>299</v>
      </c>
      <c r="AM25" s="130">
        <v>1479897</v>
      </c>
      <c r="AN25" s="27"/>
      <c r="AO25" s="90">
        <f t="shared" si="20"/>
        <v>123324.75</v>
      </c>
      <c r="AP25" s="27"/>
      <c r="AQ25" s="222"/>
      <c r="AR25" s="91"/>
      <c r="AS25" s="176"/>
      <c r="AT25" s="262"/>
      <c r="AU25" s="261"/>
      <c r="AV25" s="275"/>
      <c r="AW25" s="222"/>
      <c r="AX25" s="27"/>
      <c r="AZ25" s="284"/>
      <c r="BA25" s="285"/>
      <c r="BD25" s="281"/>
      <c r="BG25" s="255"/>
    </row>
    <row r="26" spans="1:59" ht="18.75" customHeight="1" x14ac:dyDescent="0.25">
      <c r="A26" s="384"/>
      <c r="B26" s="125" t="s">
        <v>301</v>
      </c>
      <c r="C26" s="125" t="s">
        <v>321</v>
      </c>
      <c r="D26" s="138">
        <f t="shared" si="0"/>
        <v>3889591</v>
      </c>
      <c r="E26" s="127">
        <f t="shared" si="17"/>
        <v>324132.58</v>
      </c>
      <c r="F26" s="128">
        <v>0</v>
      </c>
      <c r="G26" s="128">
        <f t="shared" si="18"/>
        <v>324132.58</v>
      </c>
      <c r="H26" s="400"/>
      <c r="I26" s="403"/>
      <c r="J26" s="403"/>
      <c r="K26" s="403"/>
      <c r="L26" s="356">
        <f>$K$23*(O5/$U$5)-E49+F49</f>
        <v>-594840.55000000005</v>
      </c>
      <c r="M26" s="356">
        <f>IF((G26+G27)-L26&lt;0,0,(G26+G27)-L26)</f>
        <v>1231955.3800000001</v>
      </c>
      <c r="N26" s="129"/>
      <c r="O26" s="361">
        <f t="shared" ref="O26" si="21">+M26</f>
        <v>1231955.3800000001</v>
      </c>
      <c r="P26" s="125"/>
      <c r="Q26" s="139"/>
      <c r="R26" s="125"/>
      <c r="S26" s="140"/>
      <c r="T26" s="75"/>
      <c r="U26" s="353">
        <f>ROUND(IF(M26=0,L26-(G26+G27),0),2)</f>
        <v>0</v>
      </c>
      <c r="V26" s="27"/>
      <c r="W26" s="75"/>
      <c r="X26" s="75"/>
      <c r="Y26" s="75"/>
      <c r="Z26" s="75"/>
      <c r="AA26" s="75"/>
      <c r="AB26" s="75"/>
      <c r="AC26" s="75"/>
      <c r="AD26" s="75"/>
      <c r="AE26" s="75"/>
      <c r="AF26" s="27"/>
      <c r="AG26" s="27"/>
      <c r="AH26" s="27">
        <v>28161</v>
      </c>
      <c r="AI26" s="27">
        <v>28371</v>
      </c>
      <c r="AJ26" s="76">
        <v>2</v>
      </c>
      <c r="AK26" s="88" t="s">
        <v>301</v>
      </c>
      <c r="AL26" s="88" t="s">
        <v>321</v>
      </c>
      <c r="AM26" s="130">
        <v>3889591</v>
      </c>
      <c r="AN26" s="27"/>
      <c r="AO26" s="90">
        <f t="shared" si="20"/>
        <v>324132.58</v>
      </c>
      <c r="AP26" s="27"/>
      <c r="AQ26" s="222">
        <v>0</v>
      </c>
      <c r="AR26" s="91">
        <f t="shared" si="4"/>
        <v>-3889591</v>
      </c>
      <c r="AS26" s="176">
        <f t="shared" si="5"/>
        <v>0</v>
      </c>
      <c r="AT26" s="262">
        <f t="shared" si="6"/>
        <v>-324132.58</v>
      </c>
      <c r="AU26" s="261"/>
      <c r="AV26" s="275">
        <f t="shared" si="7"/>
        <v>2268928.06</v>
      </c>
      <c r="AW26" s="222">
        <f t="shared" si="8"/>
        <v>-2268928.06</v>
      </c>
      <c r="AX26" s="27">
        <f t="shared" si="9"/>
        <v>-453785.61</v>
      </c>
      <c r="AY26" s="250"/>
      <c r="AZ26" s="284">
        <v>3712736</v>
      </c>
      <c r="BA26" s="285">
        <f t="shared" si="10"/>
        <v>309394.67</v>
      </c>
      <c r="BC26" s="278">
        <f t="shared" si="11"/>
        <v>-907571.22</v>
      </c>
      <c r="BD26" s="281">
        <f t="shared" si="12"/>
        <v>1361356.84</v>
      </c>
      <c r="BE26" s="278">
        <f t="shared" si="13"/>
        <v>783793.05</v>
      </c>
      <c r="BF26" s="278">
        <f t="shared" si="14"/>
        <v>1237578.6600000001</v>
      </c>
      <c r="BG26" s="255">
        <f t="shared" si="15"/>
        <v>3712736</v>
      </c>
    </row>
    <row r="27" spans="1:59" ht="18.75" customHeight="1" x14ac:dyDescent="0.25">
      <c r="A27" s="384"/>
      <c r="B27" s="131" t="s">
        <v>301</v>
      </c>
      <c r="C27" s="131" t="s">
        <v>322</v>
      </c>
      <c r="D27" s="132">
        <f t="shared" si="0"/>
        <v>3755787</v>
      </c>
      <c r="E27" s="133">
        <f t="shared" si="17"/>
        <v>312982.25</v>
      </c>
      <c r="F27" s="134">
        <v>0</v>
      </c>
      <c r="G27" s="134">
        <f t="shared" si="18"/>
        <v>312982.25</v>
      </c>
      <c r="H27" s="400"/>
      <c r="I27" s="403"/>
      <c r="J27" s="403"/>
      <c r="K27" s="403"/>
      <c r="L27" s="358"/>
      <c r="M27" s="358"/>
      <c r="N27" s="135"/>
      <c r="O27" s="362"/>
      <c r="P27" s="131"/>
      <c r="Q27" s="144"/>
      <c r="R27" s="131"/>
      <c r="S27" s="145"/>
      <c r="T27" s="75"/>
      <c r="U27" s="355"/>
      <c r="V27" s="27"/>
      <c r="W27" s="75"/>
      <c r="X27" s="75"/>
      <c r="Y27" s="75"/>
      <c r="Z27" s="75"/>
      <c r="AA27" s="75"/>
      <c r="AB27" s="75"/>
      <c r="AC27" s="75"/>
      <c r="AD27" s="75"/>
      <c r="AE27" s="75"/>
      <c r="AF27" s="27"/>
      <c r="AG27" s="27"/>
      <c r="AH27" s="27">
        <v>28181</v>
      </c>
      <c r="AI27" s="27">
        <v>28371</v>
      </c>
      <c r="AJ27" s="76">
        <v>2</v>
      </c>
      <c r="AK27" s="88" t="s">
        <v>301</v>
      </c>
      <c r="AL27" s="88" t="s">
        <v>322</v>
      </c>
      <c r="AM27" s="130">
        <v>3755787</v>
      </c>
      <c r="AN27" s="27"/>
      <c r="AO27" s="90">
        <f t="shared" si="20"/>
        <v>312982.25</v>
      </c>
      <c r="AP27" s="27"/>
      <c r="AQ27" s="222">
        <v>0</v>
      </c>
      <c r="AR27" s="91">
        <f t="shared" si="4"/>
        <v>-3755787</v>
      </c>
      <c r="AS27" s="176">
        <f t="shared" si="5"/>
        <v>0</v>
      </c>
      <c r="AT27" s="262">
        <f t="shared" si="6"/>
        <v>-312982.25</v>
      </c>
      <c r="AU27" s="261"/>
      <c r="AV27" s="275">
        <f t="shared" si="7"/>
        <v>2190875.75</v>
      </c>
      <c r="AW27" s="222">
        <f t="shared" si="8"/>
        <v>-2190875.75</v>
      </c>
      <c r="AX27" s="27">
        <f t="shared" si="9"/>
        <v>-438175.15</v>
      </c>
      <c r="AY27" s="250"/>
      <c r="AZ27" s="284">
        <v>3584235</v>
      </c>
      <c r="BA27" s="285">
        <f t="shared" si="10"/>
        <v>298686.25</v>
      </c>
      <c r="BC27" s="278">
        <f t="shared" si="11"/>
        <v>-876350.3</v>
      </c>
      <c r="BD27" s="281">
        <f t="shared" si="12"/>
        <v>1314525.45</v>
      </c>
      <c r="BE27" s="278">
        <f t="shared" si="13"/>
        <v>756569.85</v>
      </c>
      <c r="BF27" s="278">
        <f t="shared" si="14"/>
        <v>1194745</v>
      </c>
      <c r="BG27" s="255">
        <f t="shared" si="15"/>
        <v>3584235</v>
      </c>
    </row>
    <row r="28" spans="1:59" ht="18.75" customHeight="1" x14ac:dyDescent="0.25">
      <c r="A28" s="384"/>
      <c r="B28" s="125" t="s">
        <v>304</v>
      </c>
      <c r="C28" s="125" t="s">
        <v>323</v>
      </c>
      <c r="D28" s="138">
        <f t="shared" si="0"/>
        <v>2137122</v>
      </c>
      <c r="E28" s="127">
        <f t="shared" si="17"/>
        <v>178093.5</v>
      </c>
      <c r="F28" s="128">
        <v>0</v>
      </c>
      <c r="G28" s="128">
        <f t="shared" si="18"/>
        <v>178093.5</v>
      </c>
      <c r="H28" s="400"/>
      <c r="I28" s="403"/>
      <c r="J28" s="403"/>
      <c r="K28" s="403"/>
      <c r="L28" s="356">
        <f>$K$23*(P5/$U$5)-E50+F50</f>
        <v>128096.77</v>
      </c>
      <c r="M28" s="356">
        <f>IF((G28+G29)-L28&lt;0,0,(G28+G29)-L28)</f>
        <v>167091.72999999998</v>
      </c>
      <c r="N28" s="129"/>
      <c r="O28" s="139"/>
      <c r="P28" s="361">
        <f t="shared" ref="P28" si="22">+M28</f>
        <v>167091.72999999998</v>
      </c>
      <c r="Q28" s="139"/>
      <c r="R28" s="125"/>
      <c r="S28" s="140"/>
      <c r="T28" s="75"/>
      <c r="U28" s="353">
        <f>ROUND(IF(M28=0,L28-(G28+G29),0),2)</f>
        <v>0</v>
      </c>
      <c r="V28" s="27"/>
      <c r="W28" s="75"/>
      <c r="X28" s="75"/>
      <c r="Y28" s="75"/>
      <c r="Z28" s="75"/>
      <c r="AA28" s="75"/>
      <c r="AB28" s="75"/>
      <c r="AC28" s="75"/>
      <c r="AD28" s="75"/>
      <c r="AE28" s="75"/>
      <c r="AF28" s="27"/>
      <c r="AG28" s="27"/>
      <c r="AH28" s="27">
        <v>3183</v>
      </c>
      <c r="AI28" s="27">
        <v>3300</v>
      </c>
      <c r="AJ28" s="76">
        <v>1</v>
      </c>
      <c r="AK28" s="88" t="s">
        <v>304</v>
      </c>
      <c r="AL28" s="88" t="s">
        <v>323</v>
      </c>
      <c r="AM28" s="130">
        <v>2137122</v>
      </c>
      <c r="AN28" s="27"/>
      <c r="AO28" s="90">
        <f t="shared" si="20"/>
        <v>178093.5</v>
      </c>
      <c r="AP28" s="27"/>
      <c r="AQ28" s="222">
        <v>0</v>
      </c>
      <c r="AR28" s="91">
        <f t="shared" si="4"/>
        <v>-2137122</v>
      </c>
      <c r="AS28" s="176">
        <f t="shared" si="5"/>
        <v>0</v>
      </c>
      <c r="AT28" s="262">
        <f t="shared" si="6"/>
        <v>-178093.5</v>
      </c>
      <c r="AU28" s="261"/>
      <c r="AV28" s="275">
        <f t="shared" si="7"/>
        <v>1246654.5</v>
      </c>
      <c r="AW28" s="222">
        <f t="shared" si="8"/>
        <v>-1246654.5</v>
      </c>
      <c r="AX28" s="27">
        <f t="shared" si="9"/>
        <v>-249330.9</v>
      </c>
      <c r="AY28" s="250"/>
      <c r="AZ28" s="284">
        <v>1915718</v>
      </c>
      <c r="BA28" s="285">
        <f t="shared" si="10"/>
        <v>159643.17000000001</v>
      </c>
      <c r="BC28" s="278">
        <f t="shared" si="11"/>
        <v>-498661.8</v>
      </c>
      <c r="BD28" s="281">
        <f t="shared" si="12"/>
        <v>747992.7</v>
      </c>
      <c r="BE28" s="278">
        <f t="shared" si="13"/>
        <v>389241.77</v>
      </c>
      <c r="BF28" s="278">
        <f t="shared" si="14"/>
        <v>638572.67000000004</v>
      </c>
      <c r="BG28" s="255">
        <f t="shared" si="15"/>
        <v>1915718</v>
      </c>
    </row>
    <row r="29" spans="1:59" ht="18.75" customHeight="1" x14ac:dyDescent="0.25">
      <c r="A29" s="384"/>
      <c r="B29" s="131" t="s">
        <v>304</v>
      </c>
      <c r="C29" s="131" t="s">
        <v>324</v>
      </c>
      <c r="D29" s="132">
        <f t="shared" si="0"/>
        <v>1405140</v>
      </c>
      <c r="E29" s="133">
        <f t="shared" si="17"/>
        <v>117095</v>
      </c>
      <c r="F29" s="137">
        <v>0</v>
      </c>
      <c r="G29" s="134">
        <f t="shared" si="18"/>
        <v>117095</v>
      </c>
      <c r="H29" s="400"/>
      <c r="I29" s="403"/>
      <c r="J29" s="403"/>
      <c r="K29" s="403"/>
      <c r="L29" s="358"/>
      <c r="M29" s="358"/>
      <c r="N29" s="135"/>
      <c r="O29" s="144"/>
      <c r="P29" s="362"/>
      <c r="Q29" s="143"/>
      <c r="R29" s="131"/>
      <c r="S29" s="145"/>
      <c r="T29" s="75"/>
      <c r="U29" s="355"/>
      <c r="V29" s="27"/>
      <c r="W29" s="75"/>
      <c r="X29" s="75"/>
      <c r="Y29" s="75"/>
      <c r="Z29" s="75"/>
      <c r="AA29" s="75"/>
      <c r="AB29" s="75"/>
      <c r="AC29" s="75"/>
      <c r="AD29" s="75"/>
      <c r="AE29" s="75"/>
      <c r="AF29" s="27"/>
      <c r="AG29" s="27"/>
      <c r="AH29" s="27">
        <v>3032</v>
      </c>
      <c r="AI29" s="27">
        <v>3300</v>
      </c>
      <c r="AJ29" s="76">
        <v>1</v>
      </c>
      <c r="AK29" s="88" t="s">
        <v>304</v>
      </c>
      <c r="AL29" s="88" t="s">
        <v>324</v>
      </c>
      <c r="AM29" s="130">
        <v>1405140</v>
      </c>
      <c r="AN29" s="27"/>
      <c r="AO29" s="90">
        <f t="shared" si="20"/>
        <v>117095</v>
      </c>
      <c r="AP29" s="27"/>
      <c r="AQ29" s="222">
        <v>0</v>
      </c>
      <c r="AR29" s="91">
        <f t="shared" si="4"/>
        <v>-1405140</v>
      </c>
      <c r="AS29" s="176">
        <f t="shared" si="5"/>
        <v>0</v>
      </c>
      <c r="AT29" s="262">
        <f t="shared" si="6"/>
        <v>-117095</v>
      </c>
      <c r="AU29" s="261"/>
      <c r="AV29" s="275">
        <f t="shared" si="7"/>
        <v>819665</v>
      </c>
      <c r="AW29" s="222">
        <f t="shared" si="8"/>
        <v>-819665</v>
      </c>
      <c r="AX29" s="27">
        <f t="shared" si="9"/>
        <v>-163933</v>
      </c>
      <c r="AY29" s="250"/>
      <c r="AZ29" s="284">
        <v>1212746</v>
      </c>
      <c r="BA29" s="285">
        <f t="shared" si="10"/>
        <v>101062.17</v>
      </c>
      <c r="BC29" s="278">
        <f t="shared" si="11"/>
        <v>-327866</v>
      </c>
      <c r="BD29" s="281">
        <f t="shared" si="12"/>
        <v>491799</v>
      </c>
      <c r="BE29" s="278">
        <f t="shared" si="13"/>
        <v>240315.67</v>
      </c>
      <c r="BF29" s="278">
        <f t="shared" si="14"/>
        <v>404248.67000000004</v>
      </c>
      <c r="BG29" s="255">
        <f t="shared" si="15"/>
        <v>1212746</v>
      </c>
    </row>
    <row r="30" spans="1:59" ht="18.75" customHeight="1" x14ac:dyDescent="0.25">
      <c r="A30" s="384"/>
      <c r="B30" s="125" t="s">
        <v>308</v>
      </c>
      <c r="C30" s="125" t="s">
        <v>326</v>
      </c>
      <c r="D30" s="138">
        <f t="shared" si="0"/>
        <v>2349973</v>
      </c>
      <c r="E30" s="128">
        <f t="shared" si="17"/>
        <v>195831.08</v>
      </c>
      <c r="F30" s="128">
        <v>0</v>
      </c>
      <c r="G30" s="128">
        <f t="shared" si="18"/>
        <v>195831.08</v>
      </c>
      <c r="H30" s="400"/>
      <c r="I30" s="403"/>
      <c r="J30" s="403"/>
      <c r="K30" s="405"/>
      <c r="L30" s="356">
        <f>$K$23*(Q5/$U$5)-E51+F51</f>
        <v>58266.06</v>
      </c>
      <c r="M30" s="356">
        <f>IF((G30+G31)-L30&lt;0,0,(G30+G31)-L30)</f>
        <v>137565.01999999999</v>
      </c>
      <c r="N30" s="129"/>
      <c r="O30" s="139"/>
      <c r="P30" s="125"/>
      <c r="Q30" s="361">
        <f t="shared" ref="Q30" si="23">+M30</f>
        <v>137565.01999999999</v>
      </c>
      <c r="R30" s="129"/>
      <c r="S30" s="140"/>
      <c r="T30" s="75"/>
      <c r="U30" s="353">
        <f>ROUND(IF(M30=0,L30-(G30+G31),0),2)</f>
        <v>0</v>
      </c>
      <c r="V30" s="27"/>
      <c r="W30" s="75"/>
      <c r="X30" s="75"/>
      <c r="Y30" s="75"/>
      <c r="Z30" s="75"/>
      <c r="AA30" s="75"/>
      <c r="AB30" s="75"/>
      <c r="AC30" s="75"/>
      <c r="AD30" s="75"/>
      <c r="AE30" s="75"/>
      <c r="AF30" s="27"/>
      <c r="AG30" s="27"/>
      <c r="AH30" s="27">
        <v>4402</v>
      </c>
      <c r="AI30" s="27">
        <v>4406</v>
      </c>
      <c r="AJ30" s="76">
        <v>1</v>
      </c>
      <c r="AK30" s="88" t="s">
        <v>308</v>
      </c>
      <c r="AL30" s="88" t="s">
        <v>326</v>
      </c>
      <c r="AM30" s="130">
        <v>2349973</v>
      </c>
      <c r="AN30" s="27"/>
      <c r="AO30" s="90">
        <f t="shared" si="20"/>
        <v>195831.08</v>
      </c>
      <c r="AP30" s="27"/>
      <c r="AQ30" s="222">
        <v>0</v>
      </c>
      <c r="AR30" s="91">
        <f t="shared" si="4"/>
        <v>-2349973</v>
      </c>
      <c r="AS30" s="176">
        <f t="shared" si="5"/>
        <v>0</v>
      </c>
      <c r="AT30" s="262">
        <f t="shared" si="6"/>
        <v>-195831.08</v>
      </c>
      <c r="AU30" s="261"/>
      <c r="AV30" s="275">
        <f t="shared" si="7"/>
        <v>1370817.5599999998</v>
      </c>
      <c r="AW30" s="222">
        <f t="shared" si="8"/>
        <v>-1370817.5599999998</v>
      </c>
      <c r="AX30" s="27">
        <f t="shared" si="9"/>
        <v>-274163.51</v>
      </c>
      <c r="AY30" s="250"/>
      <c r="AZ30" s="284">
        <v>2329465</v>
      </c>
      <c r="BA30" s="285">
        <f t="shared" si="10"/>
        <v>194122.08</v>
      </c>
      <c r="BC30" s="278">
        <f t="shared" si="11"/>
        <v>-548327.02</v>
      </c>
      <c r="BD30" s="281">
        <f t="shared" si="12"/>
        <v>822490.5399999998</v>
      </c>
      <c r="BE30" s="278">
        <f t="shared" si="13"/>
        <v>502324.82</v>
      </c>
      <c r="BF30" s="278">
        <f t="shared" si="14"/>
        <v>776488.33000000007</v>
      </c>
      <c r="BG30" s="255">
        <f t="shared" si="15"/>
        <v>2329465</v>
      </c>
    </row>
    <row r="31" spans="1:59" ht="19.5" customHeight="1" x14ac:dyDescent="0.25">
      <c r="A31" s="384"/>
      <c r="B31" s="152" t="s">
        <v>308</v>
      </c>
      <c r="C31" s="152" t="s">
        <v>327</v>
      </c>
      <c r="D31" s="134">
        <f t="shared" si="0"/>
        <v>0</v>
      </c>
      <c r="E31" s="134">
        <v>0</v>
      </c>
      <c r="F31" s="258">
        <v>0</v>
      </c>
      <c r="G31" s="134">
        <f t="shared" si="18"/>
        <v>0</v>
      </c>
      <c r="H31" s="400"/>
      <c r="I31" s="403"/>
      <c r="J31" s="403"/>
      <c r="K31" s="405"/>
      <c r="L31" s="357"/>
      <c r="M31" s="358"/>
      <c r="N31" s="136"/>
      <c r="O31" s="153"/>
      <c r="P31" s="152"/>
      <c r="Q31" s="362"/>
      <c r="R31" s="136"/>
      <c r="S31" s="154"/>
      <c r="T31" s="75"/>
      <c r="U31" s="355"/>
      <c r="V31" s="27"/>
      <c r="W31" s="75"/>
      <c r="X31" s="75"/>
      <c r="Y31" s="75"/>
      <c r="Z31" s="75"/>
      <c r="AA31" s="75"/>
      <c r="AB31" s="75"/>
      <c r="AC31" s="75"/>
      <c r="AD31" s="75"/>
      <c r="AE31" s="75"/>
      <c r="AF31" s="27"/>
      <c r="AG31" s="27"/>
      <c r="AH31" s="27"/>
      <c r="AI31" s="27"/>
      <c r="AJ31" s="76"/>
      <c r="AK31" s="88" t="s">
        <v>308</v>
      </c>
      <c r="AL31" s="88" t="s">
        <v>327</v>
      </c>
      <c r="AM31" s="130">
        <v>0</v>
      </c>
      <c r="AN31" s="27"/>
      <c r="AO31" s="90">
        <f t="shared" si="20"/>
        <v>0</v>
      </c>
      <c r="AP31" s="27"/>
      <c r="AQ31" s="222">
        <v>0</v>
      </c>
      <c r="AR31" s="91">
        <f t="shared" si="4"/>
        <v>0</v>
      </c>
      <c r="AS31" s="176">
        <f t="shared" si="5"/>
        <v>0</v>
      </c>
      <c r="AT31" s="262">
        <f t="shared" si="6"/>
        <v>0</v>
      </c>
      <c r="AU31" s="261"/>
      <c r="AV31" s="275">
        <f t="shared" si="7"/>
        <v>0</v>
      </c>
      <c r="AW31" s="222">
        <f t="shared" si="8"/>
        <v>0</v>
      </c>
      <c r="AX31" s="27">
        <f t="shared" si="9"/>
        <v>0</v>
      </c>
      <c r="AY31" s="250"/>
      <c r="AZ31" s="284">
        <v>0</v>
      </c>
      <c r="BA31" s="285">
        <f t="shared" si="10"/>
        <v>0</v>
      </c>
      <c r="BC31" s="278">
        <f t="shared" si="11"/>
        <v>0</v>
      </c>
      <c r="BD31" s="281">
        <f t="shared" si="12"/>
        <v>0</v>
      </c>
      <c r="BE31" s="278">
        <f t="shared" si="13"/>
        <v>0</v>
      </c>
      <c r="BF31" s="278">
        <f t="shared" si="14"/>
        <v>0</v>
      </c>
      <c r="BG31" s="255">
        <f t="shared" si="15"/>
        <v>0</v>
      </c>
    </row>
    <row r="32" spans="1:59" ht="17.25" customHeight="1" x14ac:dyDescent="0.25">
      <c r="A32" s="384"/>
      <c r="B32" s="131" t="s">
        <v>311</v>
      </c>
      <c r="C32" s="131" t="s">
        <v>328</v>
      </c>
      <c r="D32" s="155">
        <f t="shared" si="0"/>
        <v>5103973</v>
      </c>
      <c r="E32" s="133">
        <f t="shared" ref="E32:E36" si="24">AO32</f>
        <v>425331.08</v>
      </c>
      <c r="F32" s="264">
        <v>0</v>
      </c>
      <c r="G32" s="326">
        <f t="shared" si="18"/>
        <v>425331.08</v>
      </c>
      <c r="H32" s="400"/>
      <c r="I32" s="403"/>
      <c r="J32" s="403"/>
      <c r="K32" s="405"/>
      <c r="L32" s="432">
        <f>$K$23*(R5/$U$5)-E52+F52</f>
        <v>122740.07</v>
      </c>
      <c r="M32" s="431">
        <f>IF(((G32+G33+G34+G35)-L32)&lt;0,0,((G32+G33+G34+G35)-L32))</f>
        <v>1174718.51</v>
      </c>
      <c r="N32" s="135"/>
      <c r="O32" s="144"/>
      <c r="P32" s="131"/>
      <c r="Q32" s="144"/>
      <c r="R32" s="361">
        <f t="shared" ref="R32" si="25">+M32</f>
        <v>1174718.51</v>
      </c>
      <c r="S32" s="145"/>
      <c r="T32" s="75"/>
      <c r="U32" s="353">
        <f>ROUND(IF(M32=0,L32-(G32+G33+G34+G35),0),2)</f>
        <v>0</v>
      </c>
      <c r="V32" s="27"/>
      <c r="W32" s="75"/>
      <c r="X32" s="75"/>
      <c r="Y32" s="75"/>
      <c r="Z32" s="75"/>
      <c r="AA32" s="75"/>
      <c r="AB32" s="75"/>
      <c r="AC32" s="75"/>
      <c r="AD32" s="75"/>
      <c r="AE32" s="75"/>
      <c r="AF32" s="27"/>
      <c r="AG32" s="27"/>
      <c r="AH32" s="27">
        <v>50050</v>
      </c>
      <c r="AI32" s="27">
        <v>51450</v>
      </c>
      <c r="AJ32" s="35">
        <v>10</v>
      </c>
      <c r="AK32" s="88" t="s">
        <v>311</v>
      </c>
      <c r="AL32" s="88" t="s">
        <v>328</v>
      </c>
      <c r="AM32" s="130">
        <v>5103973</v>
      </c>
      <c r="AN32" s="27"/>
      <c r="AO32" s="90">
        <f t="shared" si="20"/>
        <v>425331.08</v>
      </c>
      <c r="AP32" s="27"/>
      <c r="AQ32" s="222">
        <v>0</v>
      </c>
      <c r="AR32" s="91">
        <f t="shared" si="4"/>
        <v>-5103973</v>
      </c>
      <c r="AS32" s="176">
        <f t="shared" si="5"/>
        <v>0</v>
      </c>
      <c r="AT32" s="262">
        <f t="shared" si="6"/>
        <v>-425331.08</v>
      </c>
      <c r="AU32" s="261"/>
      <c r="AV32" s="275">
        <f t="shared" si="7"/>
        <v>2977317.56</v>
      </c>
      <c r="AW32" s="222">
        <f t="shared" si="8"/>
        <v>-2977317.56</v>
      </c>
      <c r="AX32" s="27">
        <f t="shared" si="9"/>
        <v>-595463.51</v>
      </c>
      <c r="AY32" s="250"/>
      <c r="AZ32" s="284">
        <v>5266787</v>
      </c>
      <c r="BA32" s="285">
        <f t="shared" si="10"/>
        <v>438898.92</v>
      </c>
      <c r="BC32" s="278">
        <f t="shared" si="11"/>
        <v>-1190927.02</v>
      </c>
      <c r="BD32" s="281">
        <f t="shared" si="12"/>
        <v>1786390.54</v>
      </c>
      <c r="BE32" s="278">
        <f t="shared" si="13"/>
        <v>1160132.1499999999</v>
      </c>
      <c r="BF32" s="278">
        <f t="shared" si="14"/>
        <v>1755595.66</v>
      </c>
      <c r="BG32" s="255">
        <f t="shared" si="15"/>
        <v>5266787</v>
      </c>
    </row>
    <row r="33" spans="1:59" ht="17.25" customHeight="1" x14ac:dyDescent="0.25">
      <c r="A33" s="384"/>
      <c r="B33" s="131" t="s">
        <v>311</v>
      </c>
      <c r="C33" s="131" t="s">
        <v>329</v>
      </c>
      <c r="D33" s="155">
        <f t="shared" si="0"/>
        <v>1376724</v>
      </c>
      <c r="E33" s="133">
        <f t="shared" si="24"/>
        <v>114727</v>
      </c>
      <c r="F33" s="265">
        <v>0</v>
      </c>
      <c r="G33" s="327">
        <f t="shared" si="18"/>
        <v>114727</v>
      </c>
      <c r="H33" s="400"/>
      <c r="I33" s="403"/>
      <c r="J33" s="403"/>
      <c r="K33" s="405"/>
      <c r="L33" s="433"/>
      <c r="M33" s="359"/>
      <c r="N33" s="135"/>
      <c r="O33" s="144"/>
      <c r="P33" s="131"/>
      <c r="Q33" s="144"/>
      <c r="R33" s="417"/>
      <c r="S33" s="145"/>
      <c r="T33" s="75"/>
      <c r="U33" s="354"/>
      <c r="V33" s="27"/>
      <c r="W33" s="75"/>
      <c r="X33" s="75"/>
      <c r="Y33" s="75"/>
      <c r="Z33" s="75"/>
      <c r="AA33" s="75"/>
      <c r="AB33" s="75"/>
      <c r="AC33" s="75"/>
      <c r="AD33" s="75"/>
      <c r="AE33" s="75"/>
      <c r="AF33" s="27"/>
      <c r="AG33" s="27"/>
      <c r="AH33" s="27">
        <v>51450</v>
      </c>
      <c r="AI33" s="27">
        <v>54000</v>
      </c>
      <c r="AJ33" s="76">
        <v>10</v>
      </c>
      <c r="AK33" s="88" t="s">
        <v>311</v>
      </c>
      <c r="AL33" s="88" t="s">
        <v>329</v>
      </c>
      <c r="AM33" s="130">
        <v>1376724</v>
      </c>
      <c r="AN33" s="27"/>
      <c r="AO33" s="90">
        <f t="shared" si="20"/>
        <v>114727</v>
      </c>
      <c r="AP33" s="27"/>
      <c r="AQ33" s="222">
        <v>0</v>
      </c>
      <c r="AR33" s="91">
        <f t="shared" si="4"/>
        <v>-1376724</v>
      </c>
      <c r="AS33" s="176">
        <f t="shared" si="5"/>
        <v>0</v>
      </c>
      <c r="AT33" s="262">
        <f t="shared" si="6"/>
        <v>-114727</v>
      </c>
      <c r="AU33" s="261"/>
      <c r="AV33" s="275">
        <f t="shared" si="7"/>
        <v>803089</v>
      </c>
      <c r="AW33" s="222">
        <f t="shared" si="8"/>
        <v>-803089</v>
      </c>
      <c r="AX33" s="27">
        <f t="shared" si="9"/>
        <v>-160617.79999999999</v>
      </c>
      <c r="AY33" s="250"/>
      <c r="AZ33" s="284">
        <v>1687258</v>
      </c>
      <c r="BA33" s="285">
        <f t="shared" si="10"/>
        <v>140604.82999999999</v>
      </c>
      <c r="BC33" s="278">
        <f t="shared" si="11"/>
        <v>-321235.59999999998</v>
      </c>
      <c r="BD33" s="281">
        <f t="shared" si="12"/>
        <v>481853.4</v>
      </c>
      <c r="BE33" s="278">
        <f t="shared" si="13"/>
        <v>401801.53</v>
      </c>
      <c r="BF33" s="278">
        <f t="shared" si="14"/>
        <v>562419.33000000007</v>
      </c>
      <c r="BG33" s="255">
        <f t="shared" si="15"/>
        <v>1687258</v>
      </c>
    </row>
    <row r="34" spans="1:59" ht="17.25" customHeight="1" x14ac:dyDescent="0.25">
      <c r="A34" s="384"/>
      <c r="B34" s="131" t="s">
        <v>311</v>
      </c>
      <c r="C34" s="131" t="s">
        <v>330</v>
      </c>
      <c r="D34" s="132">
        <f t="shared" si="0"/>
        <v>6775814</v>
      </c>
      <c r="E34" s="133">
        <f t="shared" si="24"/>
        <v>564651.17000000004</v>
      </c>
      <c r="F34" s="265">
        <v>0</v>
      </c>
      <c r="G34" s="327">
        <f t="shared" si="18"/>
        <v>564651.17000000004</v>
      </c>
      <c r="H34" s="400"/>
      <c r="I34" s="403"/>
      <c r="J34" s="403"/>
      <c r="K34" s="405"/>
      <c r="L34" s="433">
        <f>$K$23*Q9/$U$5</f>
        <v>0</v>
      </c>
      <c r="M34" s="359"/>
      <c r="N34" s="135"/>
      <c r="O34" s="144"/>
      <c r="P34" s="131"/>
      <c r="Q34" s="144"/>
      <c r="R34" s="417"/>
      <c r="S34" s="145"/>
      <c r="T34" s="75"/>
      <c r="U34" s="354"/>
      <c r="V34" s="27"/>
      <c r="W34" s="75"/>
      <c r="X34" s="75"/>
      <c r="Y34" s="75"/>
      <c r="Z34" s="75"/>
      <c r="AA34" s="75"/>
      <c r="AB34" s="75"/>
      <c r="AC34" s="75"/>
      <c r="AD34" s="75"/>
      <c r="AE34" s="75"/>
      <c r="AF34" s="27"/>
      <c r="AG34" s="27"/>
      <c r="AH34" s="27">
        <v>54000</v>
      </c>
      <c r="AI34" s="27">
        <v>56100</v>
      </c>
      <c r="AJ34" s="76">
        <v>10</v>
      </c>
      <c r="AK34" s="88" t="s">
        <v>311</v>
      </c>
      <c r="AL34" s="88" t="s">
        <v>330</v>
      </c>
      <c r="AM34" s="130">
        <v>6775814</v>
      </c>
      <c r="AN34" s="27"/>
      <c r="AO34" s="90">
        <f t="shared" si="20"/>
        <v>564651.17000000004</v>
      </c>
      <c r="AP34" s="27"/>
      <c r="AQ34" s="222">
        <v>0</v>
      </c>
      <c r="AR34" s="91">
        <f t="shared" si="4"/>
        <v>-6775814</v>
      </c>
      <c r="AS34" s="176">
        <f t="shared" si="5"/>
        <v>0</v>
      </c>
      <c r="AT34" s="262">
        <f t="shared" si="6"/>
        <v>-564651.17000000004</v>
      </c>
      <c r="AU34" s="261"/>
      <c r="AV34" s="275">
        <f t="shared" si="7"/>
        <v>3952558.1900000004</v>
      </c>
      <c r="AW34" s="222">
        <f t="shared" si="8"/>
        <v>-3952558.1900000004</v>
      </c>
      <c r="AX34" s="27">
        <f t="shared" si="9"/>
        <v>-790511.64</v>
      </c>
      <c r="AY34" s="250"/>
      <c r="AZ34" s="284">
        <v>6872369</v>
      </c>
      <c r="BA34" s="285">
        <f t="shared" si="10"/>
        <v>572697.42000000004</v>
      </c>
      <c r="BC34" s="278">
        <f t="shared" si="11"/>
        <v>-1581023.28</v>
      </c>
      <c r="BD34" s="281">
        <f t="shared" si="12"/>
        <v>2371534.91</v>
      </c>
      <c r="BE34" s="278">
        <f t="shared" si="13"/>
        <v>1500278.03</v>
      </c>
      <c r="BF34" s="278">
        <f t="shared" si="14"/>
        <v>2290789.67</v>
      </c>
      <c r="BG34" s="255">
        <f t="shared" si="15"/>
        <v>6872369</v>
      </c>
    </row>
    <row r="35" spans="1:59" ht="18.75" customHeight="1" x14ac:dyDescent="0.25">
      <c r="A35" s="384"/>
      <c r="B35" s="152" t="s">
        <v>311</v>
      </c>
      <c r="C35" s="152" t="s">
        <v>331</v>
      </c>
      <c r="D35" s="132">
        <f t="shared" si="0"/>
        <v>2312992</v>
      </c>
      <c r="E35" s="133">
        <f t="shared" si="24"/>
        <v>192749.33</v>
      </c>
      <c r="F35" s="266">
        <v>0</v>
      </c>
      <c r="G35" s="328">
        <f t="shared" si="18"/>
        <v>192749.33</v>
      </c>
      <c r="H35" s="400"/>
      <c r="I35" s="403"/>
      <c r="J35" s="403"/>
      <c r="K35" s="405"/>
      <c r="L35" s="434"/>
      <c r="M35" s="360"/>
      <c r="N35" s="136"/>
      <c r="O35" s="153"/>
      <c r="P35" s="152"/>
      <c r="Q35" s="153"/>
      <c r="R35" s="362"/>
      <c r="S35" s="154"/>
      <c r="T35" s="75"/>
      <c r="U35" s="418"/>
      <c r="V35" s="27"/>
      <c r="W35" s="75"/>
      <c r="X35" s="75"/>
      <c r="Y35" s="75"/>
      <c r="Z35" s="75"/>
      <c r="AA35" s="75"/>
      <c r="AB35" s="75"/>
      <c r="AC35" s="75"/>
      <c r="AD35" s="75"/>
      <c r="AE35" s="75"/>
      <c r="AF35" s="27"/>
      <c r="AG35" s="27"/>
      <c r="AH35" s="27">
        <v>56050</v>
      </c>
      <c r="AI35" s="27">
        <v>56100</v>
      </c>
      <c r="AJ35" s="76">
        <v>10</v>
      </c>
      <c r="AK35" s="88" t="s">
        <v>311</v>
      </c>
      <c r="AL35" s="88" t="s">
        <v>331</v>
      </c>
      <c r="AM35" s="130">
        <v>2312992</v>
      </c>
      <c r="AN35" s="27"/>
      <c r="AO35" s="90">
        <f t="shared" si="20"/>
        <v>192749.33</v>
      </c>
      <c r="AP35" s="27"/>
      <c r="AQ35" s="222">
        <v>0</v>
      </c>
      <c r="AR35" s="91">
        <f t="shared" si="4"/>
        <v>-2312992</v>
      </c>
      <c r="AS35" s="176">
        <f t="shared" si="5"/>
        <v>0</v>
      </c>
      <c r="AT35" s="262">
        <f t="shared" si="6"/>
        <v>-192749.33</v>
      </c>
      <c r="AU35" s="261"/>
      <c r="AV35" s="275">
        <f t="shared" si="7"/>
        <v>1349245.3099999998</v>
      </c>
      <c r="AW35" s="222">
        <f t="shared" si="8"/>
        <v>-1349245.3099999998</v>
      </c>
      <c r="AX35" s="27">
        <f t="shared" si="9"/>
        <v>-269849.06</v>
      </c>
      <c r="AY35" s="250"/>
      <c r="AZ35" s="284">
        <v>2586420</v>
      </c>
      <c r="BA35" s="285">
        <f t="shared" si="10"/>
        <v>215535</v>
      </c>
      <c r="BC35" s="278">
        <f t="shared" si="11"/>
        <v>-539698.12</v>
      </c>
      <c r="BD35" s="281">
        <f t="shared" si="12"/>
        <v>809547.18999999983</v>
      </c>
      <c r="BE35" s="278">
        <f t="shared" si="13"/>
        <v>592290.93999999994</v>
      </c>
      <c r="BF35" s="278">
        <f t="shared" si="14"/>
        <v>862140</v>
      </c>
      <c r="BG35" s="255">
        <f t="shared" si="15"/>
        <v>2586420</v>
      </c>
    </row>
    <row r="36" spans="1:59" ht="18.75" customHeight="1" x14ac:dyDescent="0.25">
      <c r="A36" s="386"/>
      <c r="B36" s="152" t="s">
        <v>285</v>
      </c>
      <c r="C36" s="152" t="s">
        <v>332</v>
      </c>
      <c r="D36" s="157">
        <f t="shared" si="0"/>
        <v>6650721</v>
      </c>
      <c r="E36" s="127">
        <f t="shared" si="24"/>
        <v>554226.75</v>
      </c>
      <c r="F36" s="267">
        <v>0</v>
      </c>
      <c r="G36" s="158">
        <f t="shared" si="18"/>
        <v>554226.75</v>
      </c>
      <c r="H36" s="401"/>
      <c r="I36" s="404"/>
      <c r="J36" s="403"/>
      <c r="K36" s="406"/>
      <c r="L36" s="324">
        <f>$K$23*(S5/$U$5)-E53+F53</f>
        <v>141158.74</v>
      </c>
      <c r="M36" s="325">
        <f>IF(((G36)-L36)&lt;0,0,((G36)-L36))</f>
        <v>413068.01</v>
      </c>
      <c r="N36" s="135"/>
      <c r="O36" s="153"/>
      <c r="P36" s="152"/>
      <c r="Q36" s="153"/>
      <c r="R36" s="136"/>
      <c r="S36" s="156">
        <f>M36</f>
        <v>413068.01</v>
      </c>
      <c r="T36" s="100"/>
      <c r="U36" s="338">
        <f>ROUND(IF(M36=0,L36-(G36),0),2)</f>
        <v>0</v>
      </c>
      <c r="V36" s="27"/>
      <c r="W36" s="75"/>
      <c r="X36" s="75"/>
      <c r="Y36" s="75"/>
      <c r="Z36" s="75"/>
      <c r="AA36" s="75"/>
      <c r="AB36" s="75"/>
      <c r="AC36" s="75"/>
      <c r="AD36" s="75"/>
      <c r="AE36" s="75"/>
      <c r="AF36" s="27"/>
      <c r="AG36" s="27"/>
      <c r="AH36" s="27">
        <v>6182</v>
      </c>
      <c r="AI36" s="27">
        <v>6440</v>
      </c>
      <c r="AJ36" s="76" t="s">
        <v>442</v>
      </c>
      <c r="AK36" s="88" t="s">
        <v>285</v>
      </c>
      <c r="AL36" s="88" t="s">
        <v>332</v>
      </c>
      <c r="AM36" s="130">
        <v>6650721</v>
      </c>
      <c r="AN36" s="27"/>
      <c r="AO36" s="90">
        <f t="shared" si="20"/>
        <v>554226.75</v>
      </c>
      <c r="AP36" s="27"/>
      <c r="AQ36" s="222">
        <v>0</v>
      </c>
      <c r="AR36" s="91">
        <f t="shared" si="4"/>
        <v>-6650721</v>
      </c>
      <c r="AS36" s="176">
        <f t="shared" si="5"/>
        <v>0</v>
      </c>
      <c r="AT36" s="262">
        <f t="shared" si="6"/>
        <v>-554226.75</v>
      </c>
      <c r="AU36" s="261"/>
      <c r="AV36" s="275">
        <f t="shared" si="7"/>
        <v>3879587.25</v>
      </c>
      <c r="AW36" s="222">
        <f t="shared" si="8"/>
        <v>-3879587.25</v>
      </c>
      <c r="AX36" s="27">
        <f t="shared" si="9"/>
        <v>-775917.45</v>
      </c>
      <c r="AY36" s="250"/>
      <c r="AZ36" s="284">
        <v>6320779</v>
      </c>
      <c r="BA36" s="285">
        <f t="shared" si="10"/>
        <v>526731.57999999996</v>
      </c>
      <c r="BC36" s="278">
        <f t="shared" si="11"/>
        <v>-1551834.9</v>
      </c>
      <c r="BD36" s="281">
        <f t="shared" si="12"/>
        <v>2327752.35</v>
      </c>
      <c r="BE36" s="278">
        <f t="shared" si="13"/>
        <v>1331008.8799999999</v>
      </c>
      <c r="BF36" s="278">
        <f t="shared" si="14"/>
        <v>2106926.33</v>
      </c>
      <c r="BG36" s="255">
        <f t="shared" si="15"/>
        <v>6320779</v>
      </c>
    </row>
    <row r="37" spans="1:59" ht="22.5" customHeight="1" x14ac:dyDescent="0.25">
      <c r="A37" s="27"/>
      <c r="B37" s="27"/>
      <c r="C37" s="159" t="s">
        <v>333</v>
      </c>
      <c r="D37" s="160">
        <f t="shared" ref="D37:E37" si="26">SUM(D23:D36)</f>
        <v>41809264</v>
      </c>
      <c r="E37" s="160">
        <f t="shared" si="26"/>
        <v>3484105.3200000003</v>
      </c>
      <c r="F37" s="305">
        <v>0</v>
      </c>
      <c r="G37" s="307">
        <f>SUM(G23:G36)</f>
        <v>3484105.3200000003</v>
      </c>
      <c r="H37" s="343">
        <f t="shared" ref="H37:I37" si="27">SUM(H23:H36)</f>
        <v>6156631.3300000001</v>
      </c>
      <c r="I37" s="291">
        <f t="shared" si="27"/>
        <v>0</v>
      </c>
      <c r="J37" s="293">
        <f>SUM(J23)</f>
        <v>0</v>
      </c>
      <c r="K37" s="214">
        <f t="shared" ref="K37" si="28">SUM(K23:K36)</f>
        <v>0</v>
      </c>
      <c r="L37" s="214">
        <f>SUM(L23:L36)</f>
        <v>0</v>
      </c>
      <c r="M37" s="340">
        <f t="shared" ref="M37:S37" si="29">SUM(M23:M36)</f>
        <v>3484105.3200000003</v>
      </c>
      <c r="N37" s="165">
        <f t="shared" si="29"/>
        <v>359706.66999999993</v>
      </c>
      <c r="O37" s="163">
        <f t="shared" si="29"/>
        <v>1231955.3800000001</v>
      </c>
      <c r="P37" s="161">
        <f t="shared" si="29"/>
        <v>167091.72999999998</v>
      </c>
      <c r="Q37" s="163">
        <f t="shared" si="29"/>
        <v>137565.01999999999</v>
      </c>
      <c r="R37" s="161">
        <f t="shared" si="29"/>
        <v>1174718.51</v>
      </c>
      <c r="S37" s="165">
        <f t="shared" si="29"/>
        <v>413068.01</v>
      </c>
      <c r="T37" s="122"/>
      <c r="U37" s="339">
        <f>ROUND(SUM(U23:U36),2)</f>
        <v>0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27"/>
      <c r="AG37" s="27"/>
      <c r="AH37" s="27"/>
      <c r="AI37" s="27"/>
      <c r="AJ37" s="76"/>
      <c r="AK37" s="27"/>
      <c r="AL37" s="27"/>
      <c r="AM37" s="176">
        <f>SUM(AM23:AM36)</f>
        <v>41809264</v>
      </c>
      <c r="AN37" s="27"/>
      <c r="AO37" s="27"/>
      <c r="AP37" s="166"/>
      <c r="AQ37" s="255">
        <f>SUM(AQ23:AQ36)</f>
        <v>0</v>
      </c>
      <c r="AR37" s="27"/>
      <c r="AS37" s="254"/>
      <c r="AT37" s="261"/>
      <c r="AU37" s="261"/>
      <c r="AV37" s="261"/>
      <c r="AW37" s="27"/>
      <c r="AX37" s="27"/>
    </row>
    <row r="38" spans="1:59" x14ac:dyDescent="0.25">
      <c r="A38" s="27"/>
      <c r="B38" s="27"/>
      <c r="C38" s="167" t="s">
        <v>334</v>
      </c>
      <c r="D38" s="169">
        <f t="shared" ref="D38:E38" si="30">+D22+D37</f>
        <v>68658870</v>
      </c>
      <c r="E38" s="169">
        <f t="shared" si="30"/>
        <v>5721572.4800000004</v>
      </c>
      <c r="F38" s="169">
        <f>SUM(F23:F37)</f>
        <v>0</v>
      </c>
      <c r="G38" s="306">
        <f>+G22+G37</f>
        <v>5721572.4800000004</v>
      </c>
      <c r="H38" s="169"/>
      <c r="I38" s="169"/>
      <c r="J38" s="292"/>
      <c r="K38" s="295"/>
      <c r="L38" s="295"/>
      <c r="M38" s="232">
        <f>ROUND(+M22+M37,2)</f>
        <v>5721572.4800000004</v>
      </c>
      <c r="N38" s="171"/>
      <c r="O38" s="76"/>
      <c r="P38" s="76"/>
      <c r="Q38" s="76"/>
      <c r="R38" s="76"/>
      <c r="S38" s="76"/>
      <c r="T38" s="27"/>
      <c r="U38" s="339">
        <f>ROUND(IF(M38-G38&lt;0,0,M38-G38),2)</f>
        <v>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76"/>
      <c r="AK38" s="27"/>
      <c r="AL38" s="27"/>
      <c r="AM38" s="114"/>
      <c r="AN38" s="27"/>
      <c r="AO38" s="27"/>
      <c r="AP38" s="27"/>
      <c r="AQ38" s="27"/>
      <c r="AR38" s="27"/>
      <c r="AS38" s="27"/>
      <c r="AT38" s="261"/>
      <c r="AU38" s="261"/>
      <c r="AV38" s="261"/>
      <c r="AW38" s="27"/>
      <c r="AX38" s="27"/>
      <c r="BF38">
        <f>SUM(BF10:BF37)</f>
        <v>21754719.310000002</v>
      </c>
    </row>
    <row r="39" spans="1:59" x14ac:dyDescent="0.25">
      <c r="A39" s="27"/>
      <c r="B39" s="27"/>
      <c r="C39" s="27"/>
      <c r="D39" s="27"/>
      <c r="E39" s="172">
        <f>E38*6</f>
        <v>34329434.880000003</v>
      </c>
      <c r="F39" s="76"/>
      <c r="G39" s="27"/>
      <c r="H39" s="76"/>
      <c r="I39" s="76"/>
      <c r="J39" s="27"/>
      <c r="K39" s="76"/>
      <c r="L39" s="76"/>
      <c r="M39" s="15"/>
      <c r="N39" s="173"/>
      <c r="O39" s="174"/>
      <c r="P39" s="174"/>
      <c r="Q39" s="174"/>
      <c r="R39" s="174"/>
      <c r="S39" s="174"/>
      <c r="T39" s="27"/>
      <c r="U39" s="1"/>
      <c r="V39" s="18"/>
      <c r="W39" s="1"/>
      <c r="X39" s="1"/>
      <c r="Y39" s="1"/>
      <c r="Z39" s="1"/>
      <c r="AA39" s="1"/>
      <c r="AB39" s="1"/>
      <c r="AC39" s="1"/>
      <c r="AD39" s="1"/>
      <c r="AE39" s="1"/>
      <c r="AF39" s="27"/>
      <c r="AG39" s="27"/>
      <c r="AH39" s="27"/>
      <c r="AI39" s="27"/>
      <c r="AJ39" s="87"/>
      <c r="AK39" s="27"/>
      <c r="AL39" s="175" t="s">
        <v>9</v>
      </c>
      <c r="AM39" s="176">
        <f>+AM22+AM37</f>
        <v>68658870</v>
      </c>
      <c r="AN39" s="27"/>
      <c r="AO39" s="176">
        <f>SUM(AO10:AO36)</f>
        <v>5721572.4800000004</v>
      </c>
      <c r="AP39" s="176"/>
      <c r="AQ39" s="124">
        <f>+AQ22+AQ37</f>
        <v>0</v>
      </c>
      <c r="AR39" s="176">
        <f>SUM(AR10:AR36)</f>
        <v>-67178973</v>
      </c>
      <c r="AS39" s="176">
        <f>+AQ39-AM39</f>
        <v>-68658870</v>
      </c>
      <c r="AT39" s="262"/>
      <c r="AU39" s="262"/>
      <c r="AV39" s="262">
        <f>SUM(AV10:AV36)</f>
        <v>39187734.109999999</v>
      </c>
      <c r="AW39" s="27"/>
      <c r="AX39" s="273">
        <f>SUM(AX10:AX36)</f>
        <v>-7837546.8099999987</v>
      </c>
      <c r="AZ39" s="284">
        <f>SUM(AZ10:AZ36)</f>
        <v>65264158</v>
      </c>
      <c r="BA39" s="284">
        <f>SUM(BA10:BA36)</f>
        <v>5438679.8300000001</v>
      </c>
      <c r="BD39" s="255">
        <f>SUM(BD10:BD36)</f>
        <v>23512640.489999998</v>
      </c>
      <c r="BE39" s="255">
        <f>SUM(BE10:BE36)</f>
        <v>13917172.499999996</v>
      </c>
      <c r="BF39" s="255"/>
      <c r="BG39" s="255">
        <f>SUM(BG10:BG36)</f>
        <v>65264158</v>
      </c>
    </row>
    <row r="40" spans="1:59" x14ac:dyDescent="0.25">
      <c r="A40" s="27"/>
      <c r="B40" s="27"/>
      <c r="C40" s="27"/>
      <c r="D40" s="27"/>
      <c r="E40" s="27"/>
      <c r="F40" s="13"/>
      <c r="G40" s="13"/>
      <c r="H40" s="1"/>
      <c r="I40" s="1"/>
      <c r="J40" s="1"/>
      <c r="K40" s="1"/>
      <c r="L40" s="1"/>
      <c r="M40" s="1"/>
      <c r="N40" s="27"/>
      <c r="O40" s="27"/>
      <c r="P40" s="27"/>
      <c r="Q40" s="27"/>
      <c r="R40" s="27"/>
      <c r="S40" s="27"/>
      <c r="T40" s="27"/>
      <c r="U40" s="1"/>
      <c r="V40" s="18"/>
      <c r="W40" s="1"/>
      <c r="X40" s="1"/>
      <c r="Y40" s="1"/>
      <c r="Z40" s="1"/>
      <c r="AA40" s="1"/>
      <c r="AB40" s="1"/>
      <c r="AC40" s="1"/>
      <c r="AD40" s="1"/>
      <c r="AE40" s="1"/>
      <c r="AF40" s="27"/>
      <c r="AG40" s="27"/>
      <c r="AH40" s="27"/>
      <c r="AI40" s="27"/>
      <c r="AJ40" s="87"/>
      <c r="AK40" s="27"/>
      <c r="AL40" s="27"/>
      <c r="AM40" s="27"/>
      <c r="AN40" s="27"/>
      <c r="AO40" s="27"/>
      <c r="AP40" s="27"/>
      <c r="AQ40" s="27"/>
      <c r="AR40" s="27"/>
      <c r="AS40" s="176"/>
      <c r="AT40" s="261"/>
      <c r="AU40" s="261"/>
      <c r="AV40" s="261"/>
      <c r="AW40" s="27"/>
      <c r="AX40" s="27"/>
      <c r="BE40" s="255"/>
      <c r="BF40">
        <f>+BF38*3</f>
        <v>65264157.930000007</v>
      </c>
    </row>
    <row r="41" spans="1:59" x14ac:dyDescent="0.25">
      <c r="A41" s="1"/>
      <c r="B41" s="27"/>
      <c r="C41" s="277"/>
      <c r="D41" s="27"/>
      <c r="E41" s="27"/>
      <c r="F41" s="13"/>
      <c r="G41" s="13"/>
      <c r="H41" s="1"/>
      <c r="I41" s="1"/>
      <c r="J41" s="1"/>
      <c r="K41" s="368" t="s">
        <v>335</v>
      </c>
      <c r="L41" s="369"/>
      <c r="M41" s="369"/>
      <c r="N41" s="369"/>
      <c r="O41" s="369"/>
      <c r="P41" s="369"/>
      <c r="Q41" s="369"/>
      <c r="R41" s="369"/>
      <c r="S41" s="370"/>
      <c r="U41" s="1"/>
      <c r="V41" s="18"/>
      <c r="W41" s="1"/>
      <c r="X41" s="1"/>
      <c r="Y41" s="1"/>
      <c r="Z41" s="1"/>
      <c r="AA41" s="1"/>
      <c r="AB41" s="1"/>
      <c r="AC41" s="1"/>
      <c r="AD41" s="1"/>
      <c r="AE41" s="1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176"/>
      <c r="AR41" s="27"/>
      <c r="AS41" s="27"/>
      <c r="AT41" s="261"/>
      <c r="AU41" s="261"/>
      <c r="AV41" s="261"/>
      <c r="AW41" s="27"/>
      <c r="AX41" s="176"/>
    </row>
    <row r="42" spans="1:59" x14ac:dyDescent="0.25">
      <c r="A42" s="13"/>
      <c r="B42" s="27"/>
      <c r="D42" s="27"/>
      <c r="E42" s="27"/>
      <c r="F42" s="13"/>
      <c r="G42" s="13"/>
      <c r="H42" s="1"/>
      <c r="I42" s="1"/>
      <c r="J42" s="1"/>
      <c r="K42" s="371" t="s">
        <v>336</v>
      </c>
      <c r="L42" s="372"/>
      <c r="M42" s="373"/>
      <c r="N42" s="211" t="s">
        <v>10</v>
      </c>
      <c r="O42" s="212" t="s">
        <v>11</v>
      </c>
      <c r="P42" s="213" t="s">
        <v>12</v>
      </c>
      <c r="Q42" s="212" t="s">
        <v>13</v>
      </c>
      <c r="R42" s="213" t="s">
        <v>14</v>
      </c>
      <c r="S42" s="213" t="s">
        <v>20</v>
      </c>
      <c r="U42" s="1"/>
      <c r="V42" s="18"/>
      <c r="W42" s="1"/>
      <c r="X42" s="1"/>
      <c r="Y42" s="1"/>
      <c r="Z42" s="1"/>
      <c r="AA42" s="1"/>
      <c r="AB42" s="1"/>
      <c r="AC42" s="1"/>
      <c r="AD42" s="1"/>
      <c r="AE42" s="1"/>
      <c r="AF42" s="27"/>
      <c r="AG42" s="27"/>
      <c r="AH42" s="27"/>
      <c r="AI42" s="27"/>
      <c r="AJ42" s="76"/>
      <c r="AK42" s="27"/>
      <c r="AL42" s="27"/>
      <c r="AM42" s="27"/>
      <c r="AN42" s="27"/>
      <c r="AO42" s="27"/>
      <c r="AP42" s="27"/>
      <c r="AQ42" s="27"/>
      <c r="AR42" s="27"/>
      <c r="AS42" s="27"/>
      <c r="AT42" s="261"/>
      <c r="AU42" s="261"/>
      <c r="AV42" s="261"/>
      <c r="AW42" s="27"/>
      <c r="AX42" s="27"/>
    </row>
    <row r="43" spans="1:59" x14ac:dyDescent="0.25">
      <c r="A43" s="27"/>
      <c r="B43" s="27"/>
      <c r="C43" s="27"/>
      <c r="D43" s="222"/>
      <c r="E43" s="27"/>
      <c r="F43" s="27"/>
      <c r="G43" s="27"/>
      <c r="H43" s="27"/>
      <c r="I43" s="27"/>
      <c r="J43" s="13"/>
      <c r="K43" s="374" t="s">
        <v>5</v>
      </c>
      <c r="L43" s="375"/>
      <c r="M43" s="376"/>
      <c r="N43" s="177">
        <f>+(G22-K22)/U5</f>
        <v>0.51988088251098175</v>
      </c>
      <c r="O43" s="178">
        <f>+(G22-K22)/U5</f>
        <v>0.51988088251098175</v>
      </c>
      <c r="P43" s="179">
        <f>+(G22-K22)/U5</f>
        <v>0.51988088251098175</v>
      </c>
      <c r="Q43" s="178">
        <f>+(G22-K22)/U5</f>
        <v>0.51988088251098175</v>
      </c>
      <c r="R43" s="179">
        <f>+(G22-K22)/U5</f>
        <v>0.51988088251098175</v>
      </c>
      <c r="S43" s="178">
        <f>+(G22-K22)/U5</f>
        <v>0.51988088251098175</v>
      </c>
      <c r="U43" s="1"/>
      <c r="V43" s="18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76"/>
      <c r="AK43" s="27"/>
      <c r="AL43" s="180"/>
      <c r="AM43" s="87"/>
      <c r="AN43" s="27"/>
      <c r="AO43" s="366"/>
      <c r="AP43" s="367"/>
      <c r="AQ43" s="367"/>
      <c r="AR43" s="367"/>
      <c r="AS43" s="176">
        <f>+AO39+AS39+BA39</f>
        <v>-57498617.689999998</v>
      </c>
      <c r="AT43" s="261"/>
      <c r="AU43" s="261"/>
      <c r="AV43" s="261"/>
      <c r="AW43" s="27"/>
      <c r="AX43" s="27"/>
      <c r="BC43" s="282">
        <f>+AM39+AR39+BG39</f>
        <v>66744055</v>
      </c>
      <c r="BD43" s="281">
        <f>+BC43-BD39</f>
        <v>43231414.510000005</v>
      </c>
      <c r="BE43">
        <f>+BD43/3</f>
        <v>14410471.503333336</v>
      </c>
    </row>
    <row r="44" spans="1:59" x14ac:dyDescent="0.25">
      <c r="A44" s="13"/>
      <c r="B44" s="27"/>
      <c r="C44" s="27"/>
      <c r="D44" s="27"/>
      <c r="E44" s="27"/>
      <c r="F44" s="27"/>
      <c r="G44" s="27"/>
      <c r="H44" s="27"/>
      <c r="I44" s="27"/>
      <c r="J44" s="13"/>
      <c r="K44" s="377" t="s">
        <v>318</v>
      </c>
      <c r="L44" s="378"/>
      <c r="M44" s="379"/>
      <c r="N44" s="181">
        <f t="shared" ref="N44:S44" si="31">+N37/N5</f>
        <v>0.39485684055599796</v>
      </c>
      <c r="O44" s="181">
        <f t="shared" si="31"/>
        <v>2.2166830915308027</v>
      </c>
      <c r="P44" s="181">
        <f t="shared" si="31"/>
        <v>0.20702027662342545</v>
      </c>
      <c r="Q44" s="181">
        <f t="shared" si="31"/>
        <v>0.37470410222090939</v>
      </c>
      <c r="R44" s="181">
        <f t="shared" si="31"/>
        <v>1.5189502446445013</v>
      </c>
      <c r="S44" s="182">
        <f t="shared" si="31"/>
        <v>0.46441889541246234</v>
      </c>
      <c r="U44" s="1"/>
      <c r="V44" s="18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76"/>
      <c r="AK44" s="27"/>
      <c r="AL44" s="180"/>
      <c r="AM44" s="180"/>
      <c r="AN44" s="27"/>
      <c r="AO44" s="367"/>
      <c r="AP44" s="367"/>
      <c r="AQ44" s="367"/>
      <c r="AR44" s="367"/>
      <c r="AS44" s="27"/>
      <c r="AT44" s="261"/>
      <c r="AU44" s="261"/>
      <c r="AV44" s="261"/>
      <c r="AW44" s="27"/>
      <c r="AX44" s="27"/>
    </row>
    <row r="45" spans="1:59" ht="15.75" x14ac:dyDescent="0.25">
      <c r="A45" s="13"/>
      <c r="B45" s="27"/>
      <c r="C45" s="27"/>
      <c r="D45" s="222"/>
      <c r="E45" s="222"/>
      <c r="F45" s="222"/>
      <c r="G45" s="27"/>
      <c r="H45" s="27"/>
      <c r="I45" s="27"/>
      <c r="J45" s="13"/>
      <c r="K45" s="380" t="s">
        <v>337</v>
      </c>
      <c r="L45" s="381"/>
      <c r="M45" s="382"/>
      <c r="N45" s="183">
        <f t="shared" ref="N45:S45" si="32">+N43+N44</f>
        <v>0.91473772306697976</v>
      </c>
      <c r="O45" s="184">
        <f t="shared" si="32"/>
        <v>2.7365639740417844</v>
      </c>
      <c r="P45" s="185">
        <f t="shared" si="32"/>
        <v>0.72690115913440723</v>
      </c>
      <c r="Q45" s="184">
        <f t="shared" si="32"/>
        <v>0.89458498473189119</v>
      </c>
      <c r="R45" s="185">
        <f t="shared" si="32"/>
        <v>2.0388311271554831</v>
      </c>
      <c r="S45" s="184">
        <f t="shared" si="32"/>
        <v>0.98429977792344414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76"/>
      <c r="AK45" s="27"/>
      <c r="AL45" s="180"/>
      <c r="AM45" s="180"/>
      <c r="AN45" s="27"/>
      <c r="AO45" s="27"/>
      <c r="AP45" s="27"/>
      <c r="AQ45" s="27"/>
      <c r="AR45" s="27"/>
      <c r="AS45" s="27"/>
      <c r="AT45" s="261"/>
      <c r="AU45" s="261"/>
      <c r="AV45" s="261"/>
      <c r="AW45" s="27"/>
      <c r="AX45" s="27"/>
    </row>
    <row r="46" spans="1:59" x14ac:dyDescent="0.25">
      <c r="A46" s="13"/>
      <c r="B46" s="27"/>
      <c r="C46" s="57" t="s">
        <v>498</v>
      </c>
      <c r="D46" s="27"/>
      <c r="E46" s="27"/>
      <c r="F46" s="27"/>
      <c r="G46" s="35"/>
      <c r="H46" s="27"/>
      <c r="I46" s="27"/>
      <c r="J46" s="13"/>
      <c r="K46" s="13"/>
      <c r="L46" s="13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180"/>
      <c r="AM46" s="180"/>
      <c r="AN46" s="27"/>
      <c r="AO46" s="27"/>
      <c r="AP46" s="27"/>
      <c r="AQ46" s="27"/>
      <c r="AR46" s="27"/>
      <c r="AS46" s="27"/>
      <c r="AT46" s="261"/>
      <c r="AU46" s="261"/>
      <c r="AV46" s="261"/>
      <c r="AW46" s="27"/>
      <c r="AX46" s="27"/>
    </row>
    <row r="47" spans="1:59" ht="43.5" customHeight="1" x14ac:dyDescent="0.25">
      <c r="A47" s="27"/>
      <c r="B47" s="27"/>
      <c r="C47" s="337" t="s">
        <v>483</v>
      </c>
      <c r="D47" s="337" t="s">
        <v>605</v>
      </c>
      <c r="E47" s="337" t="s">
        <v>497</v>
      </c>
      <c r="F47" s="337" t="s">
        <v>484</v>
      </c>
      <c r="G47" s="35"/>
      <c r="H47" s="337" t="s">
        <v>611</v>
      </c>
      <c r="I47" s="27"/>
      <c r="J47" s="13"/>
      <c r="K47" s="13"/>
      <c r="L47" s="13"/>
      <c r="M47" s="27"/>
      <c r="N47" s="15"/>
      <c r="O47" s="15"/>
      <c r="P47" s="15"/>
      <c r="Q47" s="15"/>
      <c r="R47" s="15"/>
      <c r="S47" s="15"/>
      <c r="T47" s="2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7"/>
      <c r="AG47" s="27"/>
      <c r="AH47" s="27"/>
      <c r="AI47" s="27"/>
      <c r="AJ47" s="27"/>
      <c r="AK47" s="27"/>
      <c r="AL47" s="180"/>
      <c r="AM47" s="180"/>
      <c r="AN47" s="27"/>
      <c r="AO47" s="27"/>
      <c r="AP47" s="27"/>
      <c r="AQ47" s="27"/>
      <c r="AR47" s="27"/>
      <c r="AS47" s="27"/>
      <c r="AT47" s="261"/>
      <c r="AU47" s="261"/>
      <c r="AV47" s="261"/>
      <c r="AW47" s="27"/>
      <c r="AX47" s="27"/>
    </row>
    <row r="48" spans="1:59" x14ac:dyDescent="0.25">
      <c r="A48" s="27"/>
      <c r="B48" s="27"/>
      <c r="C48" s="296" t="s">
        <v>342</v>
      </c>
      <c r="D48" s="342">
        <v>0</v>
      </c>
      <c r="E48" s="297">
        <f>+D48/6</f>
        <v>0</v>
      </c>
      <c r="F48" s="297">
        <f>ROUND(IF(E48&gt;0,0,((N5*$E$54)/(IF($E$48&gt;0,0,$N$5)+(IF($E$49&gt;0,0,$O$5))+(IF($E$50&gt;0,0,$P$5))+(IF($E$51&gt;0,0,$Q$5))+(IF($E$52&gt;0,0,$R$5))+(IF($E$53&gt;0,0,$S$5))))),2)+0.01</f>
        <v>144578.91</v>
      </c>
      <c r="G48" s="350"/>
      <c r="H48" s="437">
        <f>(IF($E$48&gt;0,0,$N$5)+(IF($E$49&gt;0,0,$O$5))+(IF($E$50&gt;0,0,$P$5))+(IF($E$51&gt;0,0,$Q$5))+(IF($E$52&gt;0,0,$R$5))+(IF($E$53&gt;0,0,$S$5)))</f>
        <v>3748042.1173999999</v>
      </c>
      <c r="I48" s="13"/>
      <c r="J48" s="268"/>
      <c r="K48" s="269"/>
      <c r="L48" s="269"/>
      <c r="M48" s="341"/>
      <c r="N48" s="251"/>
      <c r="O48" s="251"/>
      <c r="P48" s="251"/>
      <c r="Q48" s="251"/>
      <c r="R48" s="251"/>
      <c r="S48" s="251"/>
      <c r="T48" s="251"/>
      <c r="U48" s="26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7"/>
      <c r="AG48" s="27"/>
      <c r="AH48" s="27"/>
      <c r="AI48" s="27"/>
      <c r="AJ48" s="27"/>
      <c r="AK48" s="27"/>
      <c r="AL48" s="180"/>
      <c r="AM48" s="180"/>
      <c r="AN48" s="27"/>
      <c r="AO48" s="27"/>
      <c r="AP48" s="27"/>
      <c r="AQ48" s="27"/>
      <c r="AR48" s="27"/>
      <c r="AS48" s="27"/>
      <c r="AT48" s="261"/>
      <c r="AU48" s="261"/>
      <c r="AV48" s="261"/>
      <c r="AW48" s="27"/>
      <c r="AX48" s="27"/>
    </row>
    <row r="49" spans="1:50" x14ac:dyDescent="0.25">
      <c r="A49" s="27"/>
      <c r="B49" s="27"/>
      <c r="C49" s="296" t="s">
        <v>343</v>
      </c>
      <c r="D49" s="342">
        <v>3569043.2758561801</v>
      </c>
      <c r="E49" s="297">
        <f>ROUND(+D49/6,2)</f>
        <v>594840.55000000005</v>
      </c>
      <c r="F49" s="297">
        <f>ROUND(IF(E49&gt;0,0,((O5*$E$54)/(IF($E$48&gt;0,0,$N$5)+(IF($E$49&gt;0,0,$O$5))+(IF($E$50&gt;0,0,$P$5))+(IF($E$51&gt;0,0,$Q$5))+(IF($E$52&gt;0,0,$R$5))+(IF($E$53&gt;0,0,$S$5))))),2)</f>
        <v>0</v>
      </c>
      <c r="G49" s="35"/>
      <c r="H49" s="335"/>
      <c r="I49" s="13"/>
      <c r="J49" s="251"/>
      <c r="K49" s="268"/>
      <c r="L49" s="268"/>
      <c r="M49" s="251"/>
      <c r="N49" s="251"/>
      <c r="O49" s="251"/>
      <c r="P49" s="251"/>
      <c r="Q49" s="251"/>
      <c r="R49" s="251"/>
      <c r="S49" s="251"/>
      <c r="T49" s="251"/>
      <c r="U49" s="269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7"/>
      <c r="AG49" s="27"/>
      <c r="AH49" s="27"/>
      <c r="AI49" s="27"/>
      <c r="AJ49" s="27"/>
      <c r="AK49" s="27"/>
      <c r="AL49" s="180"/>
      <c r="AM49" s="180"/>
      <c r="AN49" s="27"/>
      <c r="AO49" s="27"/>
      <c r="AP49" s="27"/>
      <c r="AQ49" s="27"/>
      <c r="AR49" s="27"/>
      <c r="AS49" s="27"/>
      <c r="AT49" s="261"/>
      <c r="AU49" s="261"/>
      <c r="AV49" s="261"/>
      <c r="AW49" s="27"/>
      <c r="AX49" s="27"/>
    </row>
    <row r="50" spans="1:50" x14ac:dyDescent="0.25">
      <c r="A50" s="27"/>
      <c r="B50" s="27"/>
      <c r="C50" s="296" t="s">
        <v>344</v>
      </c>
      <c r="D50" s="342">
        <v>0</v>
      </c>
      <c r="E50" s="297">
        <f t="shared" ref="E50:E53" si="33">+D50/6</f>
        <v>0</v>
      </c>
      <c r="F50" s="297">
        <f>ROUND(IF(E50&gt;0,0,((P5*$E$54)/(IF($E$48&gt;0,0,$N$5)+(IF($E$49&gt;0,0,$O$5))+(IF($E$50&gt;0,0,$P$5))+(IF($E$51&gt;0,0,$Q$5))+(IF($E$52&gt;0,0,$R$5))+(IF($E$53&gt;0,0,$S$5))))),2)</f>
        <v>128096.77</v>
      </c>
      <c r="G50" s="35"/>
      <c r="H50" s="336"/>
      <c r="I50" s="186"/>
      <c r="J50" s="251"/>
      <c r="K50" s="363"/>
      <c r="L50" s="363"/>
      <c r="M50" s="363"/>
      <c r="N50" s="363"/>
      <c r="O50" s="363"/>
      <c r="P50" s="363"/>
      <c r="Q50" s="363"/>
      <c r="R50" s="363"/>
      <c r="S50" s="363"/>
      <c r="T50" s="251"/>
      <c r="U50" s="26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7"/>
      <c r="AG50" s="27"/>
      <c r="AH50" s="27"/>
      <c r="AI50" s="27"/>
      <c r="AJ50" s="27"/>
      <c r="AK50" s="27"/>
      <c r="AL50" s="180"/>
      <c r="AM50" s="180"/>
      <c r="AN50" s="27"/>
      <c r="AO50" s="27"/>
      <c r="AP50" s="27"/>
      <c r="AQ50" s="27"/>
      <c r="AR50" s="27"/>
      <c r="AS50" s="27"/>
      <c r="AT50" s="261"/>
      <c r="AU50" s="261"/>
      <c r="AV50" s="261"/>
      <c r="AW50" s="27"/>
      <c r="AX50" s="27"/>
    </row>
    <row r="51" spans="1:50" x14ac:dyDescent="0.25">
      <c r="A51" s="27"/>
      <c r="B51" s="27"/>
      <c r="C51" s="298" t="s">
        <v>345</v>
      </c>
      <c r="D51" s="342">
        <v>0</v>
      </c>
      <c r="E51" s="297">
        <f t="shared" si="33"/>
        <v>0</v>
      </c>
      <c r="F51" s="297">
        <f>ROUND(IF(E51&gt;0,0,((Q5*$E$54)/(IF($E$48&gt;0,0,$N$5)+(IF($E$49&gt;0,0,$O$5))+(IF($E$50&gt;0,0,$P$5))+(IF($E$51&gt;0,0,$Q$5))+(IF($E$52&gt;0,0,$R$5))+(IF($E$53&gt;0,0,$S$5))))),2)</f>
        <v>58266.06</v>
      </c>
      <c r="G51" s="35"/>
      <c r="H51" s="187"/>
      <c r="I51" s="35"/>
      <c r="J51" s="251"/>
      <c r="K51" s="364"/>
      <c r="L51" s="364"/>
      <c r="M51" s="364"/>
      <c r="N51" s="270"/>
      <c r="O51" s="270"/>
      <c r="P51" s="270"/>
      <c r="Q51" s="270"/>
      <c r="R51" s="270"/>
      <c r="S51" s="270"/>
      <c r="T51" s="251"/>
      <c r="U51" s="251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180"/>
      <c r="AM51" s="180"/>
      <c r="AN51" s="27"/>
      <c r="AO51" s="27"/>
      <c r="AP51" s="27"/>
      <c r="AQ51" s="27"/>
      <c r="AR51" s="27"/>
      <c r="AS51" s="27"/>
      <c r="AT51" s="261"/>
      <c r="AU51" s="261"/>
      <c r="AV51" s="261"/>
      <c r="AW51" s="27"/>
      <c r="AX51" s="27"/>
    </row>
    <row r="52" spans="1:50" x14ac:dyDescent="0.25">
      <c r="A52" s="27"/>
      <c r="B52" s="27"/>
      <c r="C52" s="298" t="s">
        <v>346</v>
      </c>
      <c r="D52" s="342">
        <v>0</v>
      </c>
      <c r="E52" s="297">
        <f t="shared" si="33"/>
        <v>0</v>
      </c>
      <c r="F52" s="297">
        <f>ROUND(IF(E52&gt;0,0,((R5*$E$54)/(IF($E$48&gt;0,0,$N$5)+(IF($E$49&gt;0,0,$O$5))+(IF($E$50&gt;0,0,$P$5))+(IF($E$51&gt;0,0,$Q$5))+(IF($E$52&gt;0,0,$R$5))+(IF($E$53&gt;0,0,$S$5))))),2)</f>
        <v>122740.07</v>
      </c>
      <c r="G52" s="35"/>
      <c r="H52" s="261"/>
      <c r="I52" s="27"/>
      <c r="J52" s="251"/>
      <c r="K52" s="363"/>
      <c r="L52" s="363"/>
      <c r="M52" s="363"/>
      <c r="N52" s="271"/>
      <c r="O52" s="271"/>
      <c r="P52" s="271"/>
      <c r="Q52" s="271"/>
      <c r="R52" s="271"/>
      <c r="S52" s="271"/>
      <c r="T52" s="251"/>
      <c r="U52" s="25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180"/>
      <c r="AM52" s="180"/>
      <c r="AN52" s="27"/>
      <c r="AO52" s="27"/>
      <c r="AP52" s="27"/>
      <c r="AQ52" s="27"/>
      <c r="AR52" s="27"/>
      <c r="AS52" s="27"/>
      <c r="AT52" s="261"/>
      <c r="AU52" s="261"/>
      <c r="AV52" s="261"/>
      <c r="AW52" s="27"/>
      <c r="AX52" s="27"/>
    </row>
    <row r="53" spans="1:50" x14ac:dyDescent="0.25">
      <c r="A53" s="27"/>
      <c r="B53" s="27"/>
      <c r="C53" s="298" t="s">
        <v>347</v>
      </c>
      <c r="D53" s="342">
        <v>0</v>
      </c>
      <c r="E53" s="297">
        <f t="shared" si="33"/>
        <v>0</v>
      </c>
      <c r="F53" s="297">
        <f>ROUND(IF(E53&gt;0,0,((S5*$E$54)/(IF($E$48&gt;0,0,$N$5)+(IF($E$49&gt;0,0,$O$5))+(IF($E$50&gt;0,0,$P$5))+(IF($E$51&gt;0,0,$Q$5))+(IF($E$52&gt;0,0,$R$5))+(IF($E$53&gt;0,0,$S$5))))),2)</f>
        <v>141158.74</v>
      </c>
      <c r="G53" s="35"/>
      <c r="H53" s="188"/>
      <c r="I53" s="35"/>
      <c r="J53" s="268"/>
      <c r="K53" s="363"/>
      <c r="L53" s="363"/>
      <c r="M53" s="363"/>
      <c r="N53" s="271"/>
      <c r="O53" s="271"/>
      <c r="P53" s="271"/>
      <c r="Q53" s="271"/>
      <c r="R53" s="271"/>
      <c r="S53" s="271"/>
      <c r="T53" s="251"/>
      <c r="U53" s="251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180"/>
      <c r="AM53" s="180"/>
      <c r="AN53" s="27"/>
      <c r="AO53" s="27"/>
      <c r="AP53" s="27"/>
      <c r="AQ53" s="27"/>
      <c r="AR53" s="27"/>
      <c r="AS53" s="27"/>
      <c r="AT53" s="261"/>
      <c r="AU53" s="261"/>
      <c r="AV53" s="261"/>
      <c r="AW53" s="27"/>
      <c r="AX53" s="27"/>
    </row>
    <row r="54" spans="1:50" ht="15.75" x14ac:dyDescent="0.25">
      <c r="A54" s="27"/>
      <c r="B54" s="27"/>
      <c r="C54" s="175" t="s">
        <v>314</v>
      </c>
      <c r="D54" s="303">
        <f>SUM(D48:D53)</f>
        <v>3569043.2758561801</v>
      </c>
      <c r="E54" s="320">
        <f>SUM(E48:E53)</f>
        <v>594840.55000000005</v>
      </c>
      <c r="F54" s="188">
        <f>SUM(F48:F53)</f>
        <v>594840.55000000005</v>
      </c>
      <c r="G54" s="35"/>
      <c r="H54" s="35"/>
      <c r="I54" s="35"/>
      <c r="J54" s="251"/>
      <c r="K54" s="365"/>
      <c r="L54" s="365"/>
      <c r="M54" s="365"/>
      <c r="N54" s="272"/>
      <c r="O54" s="272"/>
      <c r="P54" s="272"/>
      <c r="Q54" s="272"/>
      <c r="R54" s="272"/>
      <c r="S54" s="272"/>
      <c r="T54" s="251"/>
      <c r="U54" s="251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180"/>
      <c r="AM54" s="180"/>
      <c r="AN54" s="27"/>
      <c r="AO54" s="27"/>
      <c r="AP54" s="27"/>
      <c r="AQ54" s="27"/>
      <c r="AR54" s="27"/>
      <c r="AS54" s="27"/>
      <c r="AT54" s="261"/>
      <c r="AU54" s="261"/>
      <c r="AV54" s="261"/>
      <c r="AW54" s="27"/>
      <c r="AX54" s="27"/>
    </row>
    <row r="55" spans="1:50" x14ac:dyDescent="0.25">
      <c r="A55" s="27"/>
      <c r="B55" s="27"/>
      <c r="C55" s="35"/>
      <c r="D55" s="35"/>
      <c r="E55" s="35"/>
      <c r="F55" s="35"/>
      <c r="G55" s="35"/>
      <c r="H55" s="35"/>
      <c r="I55" s="35"/>
      <c r="J55" s="251"/>
      <c r="K55" s="268"/>
      <c r="L55" s="268"/>
      <c r="M55" s="251"/>
      <c r="N55" s="251"/>
      <c r="O55" s="251"/>
      <c r="P55" s="251"/>
      <c r="Q55" s="251"/>
      <c r="R55" s="251"/>
      <c r="S55" s="251"/>
      <c r="T55" s="251"/>
      <c r="U55" s="251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180"/>
      <c r="AM55" s="180"/>
      <c r="AN55" s="27"/>
      <c r="AO55" s="27"/>
      <c r="AP55" s="27"/>
      <c r="AQ55" s="27"/>
      <c r="AR55" s="27"/>
      <c r="AS55" s="27"/>
      <c r="AT55" s="261"/>
      <c r="AU55" s="261"/>
      <c r="AV55" s="261"/>
      <c r="AW55" s="27"/>
      <c r="AX55" s="27"/>
    </row>
    <row r="56" spans="1:50" x14ac:dyDescent="0.25">
      <c r="A56" s="27"/>
      <c r="B56" s="27"/>
      <c r="C56" s="35"/>
      <c r="D56" s="35"/>
      <c r="E56" s="35"/>
      <c r="F56" s="35"/>
      <c r="G56" s="35"/>
      <c r="H56" s="35"/>
      <c r="I56" s="35"/>
      <c r="J56" s="13"/>
      <c r="K56" s="13"/>
      <c r="L56" s="13"/>
      <c r="M56" s="189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180"/>
      <c r="AM56" s="180"/>
      <c r="AN56" s="27"/>
      <c r="AO56" s="27"/>
      <c r="AP56" s="27"/>
      <c r="AQ56" s="27"/>
      <c r="AR56" s="27"/>
      <c r="AS56" s="27"/>
      <c r="AT56" s="261"/>
      <c r="AU56" s="261"/>
      <c r="AV56" s="261"/>
      <c r="AW56" s="27"/>
      <c r="AX56" s="27"/>
    </row>
    <row r="57" spans="1:50" x14ac:dyDescent="0.25">
      <c r="A57" s="27"/>
      <c r="B57" s="27"/>
      <c r="C57" s="35"/>
      <c r="D57" s="35"/>
      <c r="E57" s="351"/>
      <c r="F57" s="35"/>
      <c r="G57" s="35"/>
      <c r="H57" s="35"/>
      <c r="I57" s="35"/>
      <c r="J57" s="13"/>
      <c r="K57" s="1"/>
      <c r="L57" s="1"/>
      <c r="M57" s="189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180"/>
      <c r="AM57" s="180"/>
      <c r="AN57" s="27"/>
      <c r="AO57" s="27"/>
      <c r="AP57" s="27"/>
      <c r="AQ57" s="27"/>
      <c r="AR57" s="27"/>
      <c r="AS57" s="27"/>
      <c r="AT57" s="261"/>
      <c r="AU57" s="261"/>
      <c r="AV57" s="261"/>
      <c r="AW57" s="27"/>
      <c r="AX57" s="27"/>
    </row>
    <row r="58" spans="1:50" x14ac:dyDescent="0.25">
      <c r="A58" s="27"/>
      <c r="B58" s="27"/>
      <c r="C58" s="35"/>
      <c r="D58" s="35"/>
      <c r="E58" s="35"/>
      <c r="F58" s="35"/>
      <c r="G58" s="35"/>
      <c r="H58" s="35"/>
      <c r="I58" s="35"/>
      <c r="J58" s="13"/>
      <c r="K58" s="1"/>
      <c r="L58" s="1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180"/>
      <c r="AM58" s="180"/>
      <c r="AN58" s="27"/>
      <c r="AO58" s="27"/>
      <c r="AP58" s="27"/>
      <c r="AQ58" s="27"/>
      <c r="AR58" s="27"/>
      <c r="AS58" s="27"/>
      <c r="AT58" s="261"/>
      <c r="AU58" s="261"/>
      <c r="AV58" s="261"/>
      <c r="AW58" s="27"/>
      <c r="AX58" s="27"/>
    </row>
    <row r="59" spans="1:50" x14ac:dyDescent="0.25">
      <c r="A59" s="27"/>
      <c r="B59" s="27"/>
      <c r="C59" s="35"/>
      <c r="D59" s="35"/>
      <c r="E59" s="35"/>
      <c r="F59" s="35"/>
      <c r="G59" s="35"/>
      <c r="H59" s="35"/>
      <c r="I59" s="35"/>
      <c r="J59" s="13"/>
      <c r="K59" s="1"/>
      <c r="L59" s="1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180"/>
      <c r="AM59" s="180"/>
      <c r="AN59" s="27"/>
      <c r="AO59" s="27"/>
      <c r="AP59" s="27"/>
      <c r="AQ59" s="27"/>
      <c r="AR59" s="27"/>
      <c r="AS59" s="27"/>
      <c r="AT59" s="261"/>
      <c r="AU59" s="261"/>
      <c r="AV59" s="261"/>
      <c r="AW59" s="27"/>
      <c r="AX59" s="27"/>
    </row>
    <row r="60" spans="1:50" x14ac:dyDescent="0.25">
      <c r="A60" s="27"/>
      <c r="B60" s="321" t="s">
        <v>606</v>
      </c>
      <c r="C60" s="322" t="s">
        <v>607</v>
      </c>
      <c r="D60" s="35"/>
      <c r="E60" s="35"/>
      <c r="F60" s="35"/>
      <c r="G60" s="35"/>
      <c r="H60" s="35"/>
      <c r="I60" s="35"/>
      <c r="J60" s="13"/>
      <c r="K60" s="1"/>
      <c r="L60" s="1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180"/>
      <c r="AM60" s="180"/>
      <c r="AN60" s="27"/>
      <c r="AO60" s="27"/>
      <c r="AP60" s="27"/>
      <c r="AQ60" s="27"/>
      <c r="AR60" s="27"/>
      <c r="AS60" s="27"/>
      <c r="AT60" s="261"/>
      <c r="AU60" s="261"/>
      <c r="AV60" s="261"/>
      <c r="AW60" s="27"/>
      <c r="AX60" s="27"/>
    </row>
    <row r="61" spans="1:50" x14ac:dyDescent="0.25">
      <c r="A61" s="27"/>
      <c r="B61" s="321" t="s">
        <v>608</v>
      </c>
      <c r="C61" s="322" t="s">
        <v>609</v>
      </c>
      <c r="D61" s="35"/>
      <c r="E61" s="35"/>
      <c r="F61" s="35"/>
      <c r="G61" s="35"/>
      <c r="H61" s="35"/>
      <c r="I61" s="35"/>
      <c r="J61" s="13"/>
      <c r="K61" s="1"/>
      <c r="L61" s="1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180"/>
      <c r="AM61" s="180"/>
      <c r="AN61" s="27"/>
      <c r="AO61" s="27"/>
      <c r="AP61" s="27"/>
      <c r="AQ61" s="27"/>
      <c r="AR61" s="27"/>
      <c r="AS61" s="27"/>
      <c r="AT61" s="261"/>
      <c r="AU61" s="261"/>
      <c r="AV61" s="261"/>
      <c r="AW61" s="27"/>
      <c r="AX61" s="27"/>
    </row>
    <row r="62" spans="1:50" x14ac:dyDescent="0.25">
      <c r="A62" s="27"/>
      <c r="B62" s="27"/>
      <c r="C62" s="35"/>
      <c r="D62" s="35"/>
      <c r="E62" s="35"/>
      <c r="F62" s="35"/>
      <c r="G62" s="35"/>
      <c r="H62" s="35"/>
      <c r="I62" s="3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180"/>
      <c r="AM62" s="180"/>
      <c r="AN62" s="27"/>
      <c r="AO62" s="27"/>
      <c r="AP62" s="27"/>
      <c r="AQ62" s="27"/>
      <c r="AR62" s="27"/>
      <c r="AS62" s="27"/>
      <c r="AT62" s="261"/>
      <c r="AU62" s="261"/>
      <c r="AV62" s="261"/>
      <c r="AW62" s="27"/>
      <c r="AX62" s="27"/>
    </row>
    <row r="63" spans="1:50" x14ac:dyDescent="0.25">
      <c r="A63" s="27"/>
      <c r="B63" s="27"/>
      <c r="C63" s="35"/>
      <c r="D63" s="35"/>
      <c r="E63" s="35"/>
      <c r="F63" s="35"/>
      <c r="G63" s="35"/>
      <c r="H63" s="35"/>
      <c r="I63" s="3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180"/>
      <c r="AM63" s="180"/>
      <c r="AN63" s="27"/>
      <c r="AO63" s="27"/>
      <c r="AP63" s="27"/>
      <c r="AQ63" s="27"/>
      <c r="AR63" s="27"/>
      <c r="AS63" s="27"/>
      <c r="AT63" s="261"/>
      <c r="AU63" s="261"/>
      <c r="AV63" s="261"/>
      <c r="AW63" s="27"/>
      <c r="AX63" s="27"/>
    </row>
    <row r="64" spans="1:50" x14ac:dyDescent="0.25">
      <c r="A64" s="27"/>
      <c r="B64" s="27"/>
      <c r="C64" s="35"/>
      <c r="D64" s="35"/>
      <c r="E64" s="35"/>
      <c r="F64" s="35"/>
      <c r="G64" s="35"/>
      <c r="H64" s="35"/>
      <c r="I64" s="3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180"/>
      <c r="AM64" s="180"/>
      <c r="AN64" s="27"/>
      <c r="AO64" s="27"/>
      <c r="AP64" s="27"/>
      <c r="AQ64" s="27"/>
      <c r="AR64" s="27"/>
      <c r="AS64" s="27"/>
      <c r="AT64" s="261"/>
      <c r="AU64" s="261"/>
      <c r="AV64" s="261"/>
      <c r="AW64" s="27"/>
      <c r="AX64" s="27"/>
    </row>
    <row r="65" spans="1:50" x14ac:dyDescent="0.25">
      <c r="A65" s="27"/>
      <c r="B65" s="27"/>
      <c r="C65" s="35"/>
      <c r="D65" s="35"/>
      <c r="E65" s="35"/>
      <c r="F65" s="35"/>
      <c r="G65" s="190"/>
      <c r="H65" s="35"/>
      <c r="I65" s="3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180"/>
      <c r="AM65" s="180"/>
      <c r="AN65" s="27"/>
      <c r="AO65" s="27"/>
      <c r="AP65" s="27"/>
      <c r="AQ65" s="27"/>
      <c r="AR65" s="27"/>
      <c r="AS65" s="27"/>
      <c r="AT65" s="261"/>
      <c r="AU65" s="261"/>
      <c r="AV65" s="261"/>
      <c r="AW65" s="27"/>
      <c r="AX65" s="27"/>
    </row>
    <row r="66" spans="1:50" x14ac:dyDescent="0.25">
      <c r="A66" s="27"/>
      <c r="B66" s="27"/>
      <c r="C66" s="35"/>
      <c r="D66" s="35"/>
      <c r="E66" s="35"/>
      <c r="F66" s="35"/>
      <c r="G66" s="35"/>
      <c r="H66" s="35"/>
      <c r="I66" s="3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180"/>
      <c r="AM66" s="180"/>
      <c r="AN66" s="27"/>
      <c r="AO66" s="27"/>
      <c r="AP66" s="27"/>
      <c r="AQ66" s="27"/>
      <c r="AR66" s="27"/>
      <c r="AS66" s="27"/>
      <c r="AT66" s="261"/>
      <c r="AU66" s="261"/>
      <c r="AV66" s="261"/>
      <c r="AW66" s="27"/>
      <c r="AX66" s="27"/>
    </row>
    <row r="67" spans="1:50" x14ac:dyDescent="0.25">
      <c r="A67" s="27"/>
      <c r="B67" s="27"/>
      <c r="C67" s="35"/>
      <c r="D67" s="35"/>
      <c r="E67" s="35"/>
      <c r="F67" s="35"/>
      <c r="G67" s="35"/>
      <c r="H67" s="35"/>
      <c r="I67" s="35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180"/>
      <c r="AM67" s="180"/>
      <c r="AN67" s="27"/>
      <c r="AO67" s="27"/>
      <c r="AP67" s="27"/>
      <c r="AQ67" s="27"/>
      <c r="AR67" s="27"/>
      <c r="AS67" s="27"/>
      <c r="AT67" s="261"/>
      <c r="AU67" s="261"/>
      <c r="AV67" s="261"/>
      <c r="AW67" s="27"/>
      <c r="AX67" s="27"/>
    </row>
    <row r="68" spans="1:50" x14ac:dyDescent="0.25">
      <c r="A68" s="27"/>
      <c r="B68" s="27"/>
      <c r="C68" s="35"/>
      <c r="D68" s="35"/>
      <c r="E68" s="35"/>
      <c r="F68" s="35"/>
      <c r="G68" s="35"/>
      <c r="H68" s="35"/>
      <c r="I68" s="3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61"/>
      <c r="AU68" s="261"/>
      <c r="AV68" s="261"/>
      <c r="AW68" s="27"/>
      <c r="AX68" s="27"/>
    </row>
    <row r="69" spans="1:50" x14ac:dyDescent="0.25">
      <c r="A69" s="27"/>
      <c r="B69" s="27"/>
      <c r="C69" s="35"/>
      <c r="D69" s="35"/>
      <c r="E69" s="35"/>
      <c r="F69" s="35"/>
      <c r="G69" s="35"/>
      <c r="H69" s="35"/>
      <c r="I69" s="3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61"/>
      <c r="AU69" s="261"/>
      <c r="AV69" s="261"/>
      <c r="AW69" s="27"/>
      <c r="AX69" s="27"/>
    </row>
    <row r="70" spans="1:50" x14ac:dyDescent="0.25">
      <c r="A70" s="27"/>
      <c r="B70" s="27"/>
      <c r="C70" s="35"/>
      <c r="D70" s="35"/>
      <c r="E70" s="35"/>
      <c r="F70" s="35"/>
      <c r="G70" s="35"/>
      <c r="H70" s="35"/>
      <c r="I70" s="35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61"/>
      <c r="AU70" s="261"/>
      <c r="AV70" s="261"/>
      <c r="AW70" s="27"/>
      <c r="AX70" s="27"/>
    </row>
    <row r="71" spans="1:50" x14ac:dyDescent="0.25">
      <c r="A71" s="27"/>
      <c r="B71" s="27"/>
      <c r="C71" s="35"/>
      <c r="D71" s="35"/>
      <c r="E71" s="35"/>
      <c r="F71" s="35"/>
      <c r="G71" s="35"/>
      <c r="H71" s="35"/>
      <c r="I71" s="35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61"/>
      <c r="AU71" s="261"/>
      <c r="AV71" s="261"/>
      <c r="AW71" s="27"/>
      <c r="AX71" s="27"/>
    </row>
    <row r="72" spans="1:50" x14ac:dyDescent="0.25">
      <c r="A72" s="27"/>
      <c r="B72" s="27"/>
      <c r="C72" s="35"/>
      <c r="D72" s="35"/>
      <c r="E72" s="35"/>
      <c r="F72" s="35"/>
      <c r="G72" s="35"/>
      <c r="H72" s="35"/>
      <c r="I72" s="35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61"/>
      <c r="AU72" s="261"/>
      <c r="AV72" s="261"/>
      <c r="AW72" s="27"/>
      <c r="AX72" s="27"/>
    </row>
    <row r="73" spans="1:50" x14ac:dyDescent="0.25">
      <c r="A73" s="27"/>
      <c r="B73" s="27"/>
      <c r="C73" s="35"/>
      <c r="D73" s="35"/>
      <c r="E73" s="190"/>
      <c r="F73" s="35"/>
      <c r="G73" s="35"/>
      <c r="H73" s="190"/>
      <c r="I73" s="3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61"/>
      <c r="AU73" s="261"/>
      <c r="AV73" s="261"/>
      <c r="AW73" s="27"/>
      <c r="AX73" s="27"/>
    </row>
    <row r="74" spans="1:50" x14ac:dyDescent="0.25">
      <c r="A74" s="27"/>
      <c r="B74" s="27"/>
      <c r="C74" s="35"/>
      <c r="D74" s="35"/>
      <c r="E74" s="190"/>
      <c r="F74" s="190"/>
      <c r="G74" s="35"/>
      <c r="H74" s="190"/>
      <c r="I74" s="3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61"/>
      <c r="AU74" s="261"/>
      <c r="AV74" s="261"/>
      <c r="AW74" s="27"/>
      <c r="AX74" s="27"/>
    </row>
    <row r="75" spans="1:50" x14ac:dyDescent="0.25">
      <c r="A75" s="27"/>
      <c r="B75" s="27"/>
      <c r="C75" s="35"/>
      <c r="D75" s="35"/>
      <c r="E75" s="35"/>
      <c r="F75" s="35"/>
      <c r="G75" s="35"/>
      <c r="H75" s="35"/>
      <c r="I75" s="3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61"/>
      <c r="AU75" s="261"/>
      <c r="AV75" s="261"/>
      <c r="AW75" s="27"/>
      <c r="AX75" s="27"/>
    </row>
    <row r="76" spans="1:50" x14ac:dyDescent="0.25">
      <c r="A76" s="27"/>
      <c r="B76" s="27"/>
      <c r="C76" s="35"/>
      <c r="D76" s="35"/>
      <c r="E76" s="35"/>
      <c r="F76" s="35"/>
      <c r="G76" s="27"/>
      <c r="H76" s="35"/>
      <c r="I76" s="3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61"/>
      <c r="AU76" s="261"/>
      <c r="AV76" s="261"/>
      <c r="AW76" s="27"/>
      <c r="AX76" s="27"/>
    </row>
    <row r="77" spans="1:50" x14ac:dyDescent="0.25">
      <c r="A77" s="27"/>
      <c r="B77" s="27"/>
      <c r="C77" s="35"/>
      <c r="D77" s="35"/>
      <c r="E77" s="35"/>
      <c r="F77" s="35"/>
      <c r="G77" s="27"/>
      <c r="H77" s="35"/>
      <c r="I77" s="3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61"/>
      <c r="AU77" s="261"/>
      <c r="AV77" s="261"/>
      <c r="AW77" s="27"/>
      <c r="AX77" s="27"/>
    </row>
    <row r="78" spans="1:50" x14ac:dyDescent="0.25">
      <c r="A78" s="27"/>
      <c r="B78" s="27"/>
      <c r="C78" s="35"/>
      <c r="D78" s="35"/>
      <c r="E78" s="35"/>
      <c r="F78" s="35"/>
      <c r="G78" s="27"/>
      <c r="H78" s="35"/>
      <c r="I78" s="19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61"/>
      <c r="AU78" s="261"/>
      <c r="AV78" s="261"/>
      <c r="AW78" s="27"/>
      <c r="AX78" s="27"/>
    </row>
    <row r="79" spans="1:50" x14ac:dyDescent="0.25">
      <c r="A79" s="27"/>
      <c r="B79" s="27"/>
      <c r="C79" s="35"/>
      <c r="D79" s="35"/>
      <c r="E79" s="35"/>
      <c r="F79" s="35"/>
      <c r="G79" s="27"/>
      <c r="H79" s="35"/>
      <c r="I79" s="19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61"/>
      <c r="AU79" s="261"/>
      <c r="AV79" s="261"/>
      <c r="AW79" s="27"/>
      <c r="AX79" s="27"/>
    </row>
    <row r="80" spans="1:50" x14ac:dyDescent="0.25">
      <c r="A80" s="27"/>
      <c r="B80" s="27"/>
      <c r="C80" s="35"/>
      <c r="D80" s="35"/>
      <c r="E80" s="35"/>
      <c r="F80" s="35"/>
      <c r="G80" s="27"/>
      <c r="H80" s="35"/>
      <c r="I80" s="19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61"/>
      <c r="AU80" s="261"/>
      <c r="AV80" s="261"/>
      <c r="AW80" s="27"/>
      <c r="AX80" s="27"/>
    </row>
    <row r="81" spans="1:50" x14ac:dyDescent="0.25">
      <c r="A81" s="27"/>
      <c r="B81" s="27"/>
      <c r="C81" s="35"/>
      <c r="D81" s="35"/>
      <c r="E81" s="35"/>
      <c r="F81" s="35"/>
      <c r="G81" s="27"/>
      <c r="H81" s="35"/>
      <c r="I81" s="19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61"/>
      <c r="AU81" s="261"/>
      <c r="AV81" s="261"/>
      <c r="AW81" s="27"/>
      <c r="AX81" s="27"/>
    </row>
    <row r="82" spans="1:50" x14ac:dyDescent="0.25">
      <c r="A82" s="27"/>
      <c r="B82" s="27"/>
      <c r="C82" s="35"/>
      <c r="D82" s="35"/>
      <c r="E82" s="35"/>
      <c r="F82" s="35"/>
      <c r="G82" s="27"/>
      <c r="H82" s="35"/>
      <c r="I82" s="19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61"/>
      <c r="AU82" s="261"/>
      <c r="AV82" s="261"/>
      <c r="AW82" s="27"/>
      <c r="AX82" s="27"/>
    </row>
    <row r="83" spans="1:50" x14ac:dyDescent="0.25">
      <c r="A83" s="27"/>
      <c r="B83" s="27"/>
      <c r="C83" s="35"/>
      <c r="D83" s="35"/>
      <c r="E83" s="35"/>
      <c r="F83" s="35"/>
      <c r="G83" s="27"/>
      <c r="H83" s="35"/>
      <c r="I83" s="3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61"/>
      <c r="AU83" s="261"/>
      <c r="AV83" s="261"/>
      <c r="AW83" s="27"/>
      <c r="AX83" s="27"/>
    </row>
    <row r="84" spans="1:50" x14ac:dyDescent="0.25">
      <c r="A84" s="27"/>
      <c r="B84" s="27"/>
      <c r="C84" s="35"/>
      <c r="D84" s="35"/>
      <c r="E84" s="35"/>
      <c r="F84" s="35"/>
      <c r="G84" s="27"/>
      <c r="H84" s="35"/>
      <c r="I84" s="3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61"/>
      <c r="AU84" s="261"/>
      <c r="AV84" s="261"/>
      <c r="AW84" s="27"/>
      <c r="AX84" s="27"/>
    </row>
    <row r="85" spans="1:50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61"/>
      <c r="AU85" s="261"/>
      <c r="AV85" s="261"/>
      <c r="AW85" s="27"/>
      <c r="AX85" s="27"/>
    </row>
    <row r="86" spans="1:50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61"/>
      <c r="AU86" s="261"/>
      <c r="AV86" s="261"/>
      <c r="AW86" s="27"/>
      <c r="AX86" s="27"/>
    </row>
    <row r="87" spans="1:50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61"/>
      <c r="AU87" s="261"/>
      <c r="AV87" s="261"/>
      <c r="AW87" s="27"/>
      <c r="AX87" s="27"/>
    </row>
    <row r="88" spans="1:50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61"/>
      <c r="AU88" s="261"/>
      <c r="AV88" s="261"/>
      <c r="AW88" s="27"/>
      <c r="AX88" s="27"/>
    </row>
    <row r="89" spans="1:50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61"/>
      <c r="AU89" s="261"/>
      <c r="AV89" s="261"/>
      <c r="AW89" s="27"/>
      <c r="AX89" s="27"/>
    </row>
    <row r="90" spans="1:50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61"/>
      <c r="AU90" s="261"/>
      <c r="AV90" s="261"/>
      <c r="AW90" s="27"/>
      <c r="AX90" s="27"/>
    </row>
    <row r="91" spans="1:50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61"/>
      <c r="AU91" s="261"/>
      <c r="AV91" s="261"/>
      <c r="AW91" s="27"/>
      <c r="AX91" s="27"/>
    </row>
    <row r="92" spans="1:50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61"/>
      <c r="AU92" s="261"/>
      <c r="AV92" s="261"/>
      <c r="AW92" s="27"/>
      <c r="AX92" s="27"/>
    </row>
    <row r="93" spans="1:50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61"/>
      <c r="AU93" s="261"/>
      <c r="AV93" s="261"/>
      <c r="AW93" s="27"/>
      <c r="AX93" s="27"/>
    </row>
    <row r="94" spans="1:50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61"/>
      <c r="AU94" s="261"/>
      <c r="AV94" s="261"/>
      <c r="AW94" s="27"/>
      <c r="AX94" s="27"/>
    </row>
    <row r="95" spans="1:50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61"/>
      <c r="AU95" s="261"/>
      <c r="AV95" s="261"/>
      <c r="AW95" s="27"/>
      <c r="AX95" s="27"/>
    </row>
    <row r="96" spans="1:5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61"/>
      <c r="AU96" s="261"/>
      <c r="AV96" s="261"/>
      <c r="AW96" s="27"/>
      <c r="AX96" s="27"/>
    </row>
    <row r="97" spans="1:5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61"/>
      <c r="AU97" s="261"/>
      <c r="AV97" s="261"/>
      <c r="AW97" s="27"/>
      <c r="AX97" s="27"/>
    </row>
    <row r="98" spans="1:5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61"/>
      <c r="AU98" s="261"/>
      <c r="AV98" s="261"/>
      <c r="AW98" s="27"/>
      <c r="AX98" s="27"/>
    </row>
    <row r="99" spans="1:5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61"/>
      <c r="AU99" s="261"/>
      <c r="AV99" s="261"/>
      <c r="AW99" s="27"/>
      <c r="AX99" s="27"/>
    </row>
    <row r="100" spans="1:5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61"/>
      <c r="AU100" s="261"/>
      <c r="AV100" s="261"/>
      <c r="AW100" s="27"/>
      <c r="AX100" s="27"/>
    </row>
    <row r="101" spans="1:5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61"/>
      <c r="AU101" s="261"/>
      <c r="AV101" s="261"/>
      <c r="AW101" s="27"/>
      <c r="AX101" s="27"/>
    </row>
    <row r="102" spans="1:5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61"/>
      <c r="AU102" s="261"/>
      <c r="AV102" s="261"/>
      <c r="AW102" s="27"/>
      <c r="AX102" s="27"/>
    </row>
    <row r="103" spans="1:5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61"/>
      <c r="AU103" s="261"/>
      <c r="AV103" s="261"/>
      <c r="AW103" s="27"/>
      <c r="AX103" s="27"/>
    </row>
    <row r="104" spans="1:5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61"/>
      <c r="AU104" s="261"/>
      <c r="AV104" s="261"/>
      <c r="AW104" s="27"/>
      <c r="AX104" s="27"/>
    </row>
    <row r="105" spans="1:5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61"/>
      <c r="AU105" s="261"/>
      <c r="AV105" s="261"/>
      <c r="AW105" s="27"/>
      <c r="AX105" s="27"/>
    </row>
    <row r="106" spans="1:5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61"/>
      <c r="AU106" s="261"/>
      <c r="AV106" s="261"/>
      <c r="AW106" s="27"/>
      <c r="AX106" s="27"/>
    </row>
    <row r="107" spans="1:5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61"/>
      <c r="AU107" s="261"/>
      <c r="AV107" s="261"/>
      <c r="AW107" s="27"/>
      <c r="AX107" s="27"/>
    </row>
    <row r="108" spans="1:5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61"/>
      <c r="AU108" s="261"/>
      <c r="AV108" s="261"/>
      <c r="AW108" s="27"/>
      <c r="AX108" s="27"/>
    </row>
    <row r="109" spans="1:5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61"/>
      <c r="AU109" s="261"/>
      <c r="AV109" s="261"/>
      <c r="AW109" s="27"/>
      <c r="AX109" s="27"/>
    </row>
    <row r="110" spans="1:5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61"/>
      <c r="AU110" s="261"/>
      <c r="AV110" s="261"/>
      <c r="AW110" s="27"/>
      <c r="AX110" s="27"/>
    </row>
    <row r="111" spans="1:5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61"/>
      <c r="AU111" s="261"/>
      <c r="AV111" s="261"/>
      <c r="AW111" s="27"/>
      <c r="AX111" s="27"/>
    </row>
    <row r="112" spans="1:5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61"/>
      <c r="AU112" s="261"/>
      <c r="AV112" s="261"/>
      <c r="AW112" s="27"/>
      <c r="AX112" s="27"/>
    </row>
    <row r="113" spans="1:5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61"/>
      <c r="AU113" s="261"/>
      <c r="AV113" s="261"/>
      <c r="AW113" s="27"/>
      <c r="AX113" s="27"/>
    </row>
    <row r="114" spans="1:5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61"/>
      <c r="AU114" s="261"/>
      <c r="AV114" s="261"/>
      <c r="AW114" s="27"/>
      <c r="AX114" s="27"/>
    </row>
    <row r="115" spans="1:5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61"/>
      <c r="AU115" s="261"/>
      <c r="AV115" s="261"/>
      <c r="AW115" s="27"/>
      <c r="AX115" s="27"/>
    </row>
    <row r="116" spans="1:5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61"/>
      <c r="AU116" s="261"/>
      <c r="AV116" s="261"/>
      <c r="AW116" s="27"/>
      <c r="AX116" s="27"/>
    </row>
    <row r="117" spans="1:5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61"/>
      <c r="AU117" s="261"/>
      <c r="AV117" s="261"/>
      <c r="AW117" s="27"/>
      <c r="AX117" s="27"/>
    </row>
    <row r="118" spans="1:5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61"/>
      <c r="AU118" s="261"/>
      <c r="AV118" s="261"/>
      <c r="AW118" s="27"/>
      <c r="AX118" s="27"/>
    </row>
    <row r="119" spans="1:5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61"/>
      <c r="AU119" s="261"/>
      <c r="AV119" s="261"/>
      <c r="AW119" s="27"/>
      <c r="AX119" s="27"/>
    </row>
    <row r="120" spans="1:5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61"/>
      <c r="AU120" s="261"/>
      <c r="AV120" s="261"/>
      <c r="AW120" s="27"/>
      <c r="AX120" s="27"/>
    </row>
    <row r="121" spans="1:5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61"/>
      <c r="AU121" s="261"/>
      <c r="AV121" s="261"/>
      <c r="AW121" s="27"/>
      <c r="AX121" s="27"/>
    </row>
    <row r="122" spans="1:5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61"/>
      <c r="AU122" s="261"/>
      <c r="AV122" s="261"/>
      <c r="AW122" s="27"/>
      <c r="AX122" s="27"/>
    </row>
    <row r="123" spans="1:5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61"/>
      <c r="AU123" s="261"/>
      <c r="AV123" s="261"/>
      <c r="AW123" s="27"/>
      <c r="AX123" s="27"/>
    </row>
    <row r="124" spans="1:5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61"/>
      <c r="AU124" s="261"/>
      <c r="AV124" s="261"/>
      <c r="AW124" s="27"/>
      <c r="AX124" s="27"/>
    </row>
    <row r="125" spans="1:5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61"/>
      <c r="AU125" s="261"/>
      <c r="AV125" s="261"/>
      <c r="AW125" s="27"/>
      <c r="AX125" s="27"/>
    </row>
    <row r="126" spans="1:5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61"/>
      <c r="AU126" s="261"/>
      <c r="AV126" s="261"/>
      <c r="AW126" s="27"/>
      <c r="AX126" s="27"/>
    </row>
    <row r="127" spans="1:5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61"/>
      <c r="AU127" s="261"/>
      <c r="AV127" s="261"/>
      <c r="AW127" s="27"/>
      <c r="AX127" s="27"/>
    </row>
    <row r="128" spans="1:5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61"/>
      <c r="AU128" s="261"/>
      <c r="AV128" s="261"/>
      <c r="AW128" s="27"/>
      <c r="AX128" s="27"/>
    </row>
    <row r="129" spans="1:5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61"/>
      <c r="AU129" s="261"/>
      <c r="AV129" s="261"/>
      <c r="AW129" s="27"/>
      <c r="AX129" s="27"/>
    </row>
    <row r="130" spans="1:5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61"/>
      <c r="AU130" s="261"/>
      <c r="AV130" s="261"/>
      <c r="AW130" s="27"/>
      <c r="AX130" s="27"/>
    </row>
    <row r="131" spans="1:5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61"/>
      <c r="AU131" s="261"/>
      <c r="AV131" s="261"/>
      <c r="AW131" s="27"/>
      <c r="AX131" s="27"/>
    </row>
    <row r="132" spans="1:5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61"/>
      <c r="AU132" s="261"/>
      <c r="AV132" s="261"/>
      <c r="AW132" s="27"/>
      <c r="AX132" s="27"/>
    </row>
    <row r="133" spans="1:5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61"/>
      <c r="AU133" s="261"/>
      <c r="AV133" s="261"/>
      <c r="AW133" s="27"/>
      <c r="AX133" s="27"/>
    </row>
    <row r="134" spans="1:5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61"/>
      <c r="AU134" s="261"/>
      <c r="AV134" s="261"/>
      <c r="AW134" s="27"/>
      <c r="AX134" s="27"/>
    </row>
    <row r="135" spans="1:5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61"/>
      <c r="AU135" s="261"/>
      <c r="AV135" s="261"/>
      <c r="AW135" s="27"/>
      <c r="AX135" s="27"/>
    </row>
    <row r="136" spans="1:5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61"/>
      <c r="AU136" s="261"/>
      <c r="AV136" s="261"/>
      <c r="AW136" s="27"/>
      <c r="AX136" s="27"/>
    </row>
    <row r="137" spans="1:5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61"/>
      <c r="AU137" s="261"/>
      <c r="AV137" s="261"/>
      <c r="AW137" s="27"/>
      <c r="AX137" s="27"/>
    </row>
    <row r="138" spans="1:5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61"/>
      <c r="AU138" s="261"/>
      <c r="AV138" s="261"/>
      <c r="AW138" s="27"/>
      <c r="AX138" s="27"/>
    </row>
    <row r="139" spans="1:5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61"/>
      <c r="AU139" s="261"/>
      <c r="AV139" s="261"/>
      <c r="AW139" s="27"/>
      <c r="AX139" s="27"/>
    </row>
    <row r="140" spans="1:5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61"/>
      <c r="AU140" s="261"/>
      <c r="AV140" s="261"/>
      <c r="AW140" s="27"/>
      <c r="AX140" s="27"/>
    </row>
    <row r="141" spans="1:5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61"/>
      <c r="AU141" s="261"/>
      <c r="AV141" s="261"/>
      <c r="AW141" s="27"/>
      <c r="AX141" s="27"/>
    </row>
    <row r="142" spans="1:5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61"/>
      <c r="AU142" s="261"/>
      <c r="AV142" s="261"/>
      <c r="AW142" s="27"/>
      <c r="AX142" s="27"/>
    </row>
    <row r="143" spans="1:5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61"/>
      <c r="AU143" s="261"/>
      <c r="AV143" s="261"/>
      <c r="AW143" s="27"/>
      <c r="AX143" s="27"/>
    </row>
    <row r="144" spans="1:5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61"/>
      <c r="AU144" s="261"/>
      <c r="AV144" s="261"/>
      <c r="AW144" s="27"/>
      <c r="AX144" s="27"/>
    </row>
    <row r="145" spans="1:5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61"/>
      <c r="AU145" s="261"/>
      <c r="AV145" s="261"/>
      <c r="AW145" s="27"/>
      <c r="AX145" s="27"/>
    </row>
    <row r="146" spans="1:5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61"/>
      <c r="AU146" s="261"/>
      <c r="AV146" s="261"/>
      <c r="AW146" s="27"/>
      <c r="AX146" s="27"/>
    </row>
    <row r="147" spans="1:5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61"/>
      <c r="AU147" s="261"/>
      <c r="AV147" s="261"/>
      <c r="AW147" s="27"/>
      <c r="AX147" s="27"/>
    </row>
    <row r="148" spans="1:5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61"/>
      <c r="AU148" s="261"/>
      <c r="AV148" s="261"/>
      <c r="AW148" s="27"/>
      <c r="AX148" s="27"/>
    </row>
    <row r="149" spans="1:5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61"/>
      <c r="AU149" s="261"/>
      <c r="AV149" s="261"/>
      <c r="AW149" s="27"/>
      <c r="AX149" s="27"/>
    </row>
    <row r="150" spans="1:5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61"/>
      <c r="AU150" s="261"/>
      <c r="AV150" s="261"/>
      <c r="AW150" s="27"/>
      <c r="AX150" s="27"/>
    </row>
    <row r="151" spans="1:5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61"/>
      <c r="AU151" s="261"/>
      <c r="AV151" s="261"/>
      <c r="AW151" s="27"/>
      <c r="AX151" s="27"/>
    </row>
    <row r="152" spans="1:5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61"/>
      <c r="AU152" s="261"/>
      <c r="AV152" s="261"/>
      <c r="AW152" s="27"/>
      <c r="AX152" s="27"/>
    </row>
    <row r="153" spans="1:5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61"/>
      <c r="AU153" s="261"/>
      <c r="AV153" s="261"/>
      <c r="AW153" s="27"/>
      <c r="AX153" s="27"/>
    </row>
    <row r="154" spans="1:5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61"/>
      <c r="AU154" s="261"/>
      <c r="AV154" s="261"/>
      <c r="AW154" s="27"/>
      <c r="AX154" s="27"/>
    </row>
    <row r="155" spans="1:5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61"/>
      <c r="AU155" s="261"/>
      <c r="AV155" s="261"/>
      <c r="AW155" s="27"/>
      <c r="AX155" s="27"/>
    </row>
    <row r="156" spans="1:5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61"/>
      <c r="AU156" s="261"/>
      <c r="AV156" s="261"/>
      <c r="AW156" s="27"/>
      <c r="AX156" s="27"/>
    </row>
    <row r="157" spans="1:5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61"/>
      <c r="AU157" s="261"/>
      <c r="AV157" s="261"/>
      <c r="AW157" s="27"/>
      <c r="AX157" s="27"/>
    </row>
    <row r="158" spans="1:5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61"/>
      <c r="AU158" s="261"/>
      <c r="AV158" s="261"/>
      <c r="AW158" s="27"/>
      <c r="AX158" s="27"/>
    </row>
    <row r="159" spans="1:5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61"/>
      <c r="AU159" s="261"/>
      <c r="AV159" s="261"/>
      <c r="AW159" s="27"/>
      <c r="AX159" s="27"/>
    </row>
    <row r="160" spans="1:5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61"/>
      <c r="AU160" s="261"/>
      <c r="AV160" s="261"/>
      <c r="AW160" s="27"/>
      <c r="AX160" s="27"/>
    </row>
    <row r="161" spans="1:5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61"/>
      <c r="AU161" s="261"/>
      <c r="AV161" s="261"/>
      <c r="AW161" s="27"/>
      <c r="AX161" s="27"/>
    </row>
    <row r="162" spans="1:5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61"/>
      <c r="AU162" s="261"/>
      <c r="AV162" s="261"/>
      <c r="AW162" s="27"/>
      <c r="AX162" s="27"/>
    </row>
    <row r="163" spans="1:5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61"/>
      <c r="AU163" s="261"/>
      <c r="AV163" s="261"/>
      <c r="AW163" s="27"/>
      <c r="AX163" s="27"/>
    </row>
    <row r="164" spans="1:5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61"/>
      <c r="AU164" s="261"/>
      <c r="AV164" s="261"/>
      <c r="AW164" s="27"/>
      <c r="AX164" s="27"/>
    </row>
    <row r="165" spans="1:5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61"/>
      <c r="AU165" s="261"/>
      <c r="AV165" s="261"/>
      <c r="AW165" s="27"/>
      <c r="AX165" s="27"/>
    </row>
    <row r="166" spans="1:5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61"/>
      <c r="AU166" s="261"/>
      <c r="AV166" s="261"/>
      <c r="AW166" s="27"/>
      <c r="AX166" s="27"/>
    </row>
    <row r="167" spans="1:5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61"/>
      <c r="AU167" s="261"/>
      <c r="AV167" s="261"/>
      <c r="AW167" s="27"/>
      <c r="AX167" s="27"/>
    </row>
    <row r="168" spans="1:5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61"/>
      <c r="AU168" s="261"/>
      <c r="AV168" s="261"/>
      <c r="AW168" s="27"/>
      <c r="AX168" s="27"/>
    </row>
    <row r="169" spans="1:5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61"/>
      <c r="AU169" s="261"/>
      <c r="AV169" s="261"/>
      <c r="AW169" s="27"/>
      <c r="AX169" s="27"/>
    </row>
    <row r="170" spans="1:5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61"/>
      <c r="AU170" s="261"/>
      <c r="AV170" s="261"/>
      <c r="AW170" s="27"/>
      <c r="AX170" s="27"/>
    </row>
    <row r="171" spans="1:5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61"/>
      <c r="AU171" s="261"/>
      <c r="AV171" s="261"/>
      <c r="AW171" s="27"/>
      <c r="AX171" s="27"/>
    </row>
    <row r="172" spans="1:5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61"/>
      <c r="AU172" s="261"/>
      <c r="AV172" s="261"/>
      <c r="AW172" s="27"/>
      <c r="AX172" s="27"/>
    </row>
    <row r="173" spans="1:5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61"/>
      <c r="AU173" s="261"/>
      <c r="AV173" s="261"/>
      <c r="AW173" s="27"/>
      <c r="AX173" s="27"/>
    </row>
    <row r="174" spans="1:5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61"/>
      <c r="AU174" s="261"/>
      <c r="AV174" s="261"/>
      <c r="AW174" s="27"/>
      <c r="AX174" s="27"/>
    </row>
    <row r="175" spans="1:5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61"/>
      <c r="AU175" s="261"/>
      <c r="AV175" s="261"/>
      <c r="AW175" s="27"/>
      <c r="AX175" s="27"/>
    </row>
    <row r="176" spans="1:5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61"/>
      <c r="AU176" s="261"/>
      <c r="AV176" s="261"/>
      <c r="AW176" s="27"/>
      <c r="AX176" s="27"/>
    </row>
    <row r="177" spans="1:5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61"/>
      <c r="AU177" s="261"/>
      <c r="AV177" s="261"/>
      <c r="AW177" s="27"/>
      <c r="AX177" s="27"/>
    </row>
    <row r="178" spans="1:5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61"/>
      <c r="AU178" s="261"/>
      <c r="AV178" s="261"/>
      <c r="AW178" s="27"/>
      <c r="AX178" s="27"/>
    </row>
    <row r="179" spans="1:5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61"/>
      <c r="AU179" s="261"/>
      <c r="AV179" s="261"/>
      <c r="AW179" s="27"/>
      <c r="AX179" s="27"/>
    </row>
    <row r="180" spans="1:5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61"/>
      <c r="AU180" s="261"/>
      <c r="AV180" s="261"/>
      <c r="AW180" s="27"/>
      <c r="AX180" s="27"/>
    </row>
    <row r="181" spans="1:5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61"/>
      <c r="AU181" s="261"/>
      <c r="AV181" s="261"/>
      <c r="AW181" s="27"/>
      <c r="AX181" s="27"/>
    </row>
    <row r="182" spans="1:5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61"/>
      <c r="AU182" s="261"/>
      <c r="AV182" s="261"/>
      <c r="AW182" s="27"/>
      <c r="AX182" s="27"/>
    </row>
    <row r="183" spans="1:5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61"/>
      <c r="AU183" s="261"/>
      <c r="AV183" s="261"/>
      <c r="AW183" s="27"/>
      <c r="AX183" s="27"/>
    </row>
    <row r="184" spans="1:5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61"/>
      <c r="AU184" s="261"/>
      <c r="AV184" s="261"/>
      <c r="AW184" s="27"/>
      <c r="AX184" s="27"/>
    </row>
    <row r="185" spans="1:5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61"/>
      <c r="AU185" s="261"/>
      <c r="AV185" s="261"/>
      <c r="AW185" s="27"/>
      <c r="AX185" s="27"/>
    </row>
    <row r="186" spans="1:5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61"/>
      <c r="AU186" s="261"/>
      <c r="AV186" s="261"/>
      <c r="AW186" s="27"/>
      <c r="AX186" s="27"/>
    </row>
    <row r="187" spans="1:5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61"/>
      <c r="AU187" s="261"/>
      <c r="AV187" s="261"/>
      <c r="AW187" s="27"/>
      <c r="AX187" s="27"/>
    </row>
    <row r="188" spans="1:5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61"/>
      <c r="AU188" s="261"/>
      <c r="AV188" s="261"/>
      <c r="AW188" s="27"/>
      <c r="AX188" s="27"/>
    </row>
    <row r="189" spans="1:5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61"/>
      <c r="AU189" s="261"/>
      <c r="AV189" s="261"/>
      <c r="AW189" s="27"/>
      <c r="AX189" s="27"/>
    </row>
    <row r="190" spans="1:5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61"/>
      <c r="AU190" s="261"/>
      <c r="AV190" s="261"/>
      <c r="AW190" s="27"/>
      <c r="AX190" s="27"/>
    </row>
    <row r="191" spans="1:5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61"/>
      <c r="AU191" s="261"/>
      <c r="AV191" s="261"/>
      <c r="AW191" s="27"/>
      <c r="AX191" s="27"/>
    </row>
    <row r="192" spans="1:5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61"/>
      <c r="AU192" s="261"/>
      <c r="AV192" s="261"/>
      <c r="AW192" s="27"/>
      <c r="AX192" s="27"/>
    </row>
    <row r="193" spans="1:5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61"/>
      <c r="AU193" s="261"/>
      <c r="AV193" s="261"/>
      <c r="AW193" s="27"/>
      <c r="AX193" s="27"/>
    </row>
    <row r="194" spans="1:5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61"/>
      <c r="AU194" s="261"/>
      <c r="AV194" s="261"/>
      <c r="AW194" s="27"/>
      <c r="AX194" s="27"/>
    </row>
    <row r="195" spans="1:5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61"/>
      <c r="AU195" s="261"/>
      <c r="AV195" s="261"/>
      <c r="AW195" s="27"/>
      <c r="AX195" s="27"/>
    </row>
    <row r="196" spans="1:5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61"/>
      <c r="AU196" s="261"/>
      <c r="AV196" s="261"/>
      <c r="AW196" s="27"/>
      <c r="AX196" s="27"/>
    </row>
    <row r="197" spans="1:5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61"/>
      <c r="AU197" s="261"/>
      <c r="AV197" s="261"/>
      <c r="AW197" s="27"/>
      <c r="AX197" s="27"/>
    </row>
    <row r="198" spans="1:5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61"/>
      <c r="AU198" s="261"/>
      <c r="AV198" s="261"/>
      <c r="AW198" s="27"/>
      <c r="AX198" s="27"/>
    </row>
    <row r="199" spans="1:5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61"/>
      <c r="AU199" s="261"/>
      <c r="AV199" s="261"/>
      <c r="AW199" s="27"/>
      <c r="AX199" s="27"/>
    </row>
    <row r="200" spans="1:5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61"/>
      <c r="AU200" s="261"/>
      <c r="AV200" s="261"/>
      <c r="AW200" s="27"/>
      <c r="AX200" s="27"/>
    </row>
    <row r="201" spans="1:5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61"/>
      <c r="AU201" s="261"/>
      <c r="AV201" s="261"/>
      <c r="AW201" s="27"/>
      <c r="AX201" s="27"/>
    </row>
    <row r="202" spans="1:5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61"/>
      <c r="AU202" s="261"/>
      <c r="AV202" s="261"/>
      <c r="AW202" s="27"/>
      <c r="AX202" s="27"/>
    </row>
    <row r="203" spans="1:5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61"/>
      <c r="AU203" s="261"/>
      <c r="AV203" s="261"/>
      <c r="AW203" s="27"/>
      <c r="AX203" s="27"/>
    </row>
    <row r="204" spans="1:5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61"/>
      <c r="AU204" s="261"/>
      <c r="AV204" s="261"/>
      <c r="AW204" s="27"/>
      <c r="AX204" s="27"/>
    </row>
    <row r="205" spans="1:5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61"/>
      <c r="AU205" s="261"/>
      <c r="AV205" s="261"/>
      <c r="AW205" s="27"/>
      <c r="AX205" s="27"/>
    </row>
    <row r="206" spans="1:5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61"/>
      <c r="AU206" s="261"/>
      <c r="AV206" s="261"/>
      <c r="AW206" s="27"/>
      <c r="AX206" s="27"/>
    </row>
    <row r="207" spans="1:5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61"/>
      <c r="AU207" s="261"/>
      <c r="AV207" s="261"/>
      <c r="AW207" s="27"/>
      <c r="AX207" s="27"/>
    </row>
    <row r="208" spans="1:5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61"/>
      <c r="AU208" s="261"/>
      <c r="AV208" s="261"/>
      <c r="AW208" s="27"/>
      <c r="AX208" s="27"/>
    </row>
    <row r="209" spans="1:5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61"/>
      <c r="AU209" s="261"/>
      <c r="AV209" s="261"/>
      <c r="AW209" s="27"/>
      <c r="AX209" s="27"/>
    </row>
    <row r="210" spans="1:5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61"/>
      <c r="AU210" s="261"/>
      <c r="AV210" s="261"/>
      <c r="AW210" s="27"/>
      <c r="AX210" s="27"/>
    </row>
    <row r="211" spans="1:5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61"/>
      <c r="AU211" s="261"/>
      <c r="AV211" s="261"/>
      <c r="AW211" s="27"/>
      <c r="AX211" s="27"/>
    </row>
    <row r="212" spans="1:5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61"/>
      <c r="AU212" s="261"/>
      <c r="AV212" s="261"/>
      <c r="AW212" s="27"/>
      <c r="AX212" s="27"/>
    </row>
    <row r="213" spans="1:5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61"/>
      <c r="AU213" s="261"/>
      <c r="AV213" s="261"/>
      <c r="AW213" s="27"/>
      <c r="AX213" s="27"/>
    </row>
    <row r="214" spans="1:5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61"/>
      <c r="AU214" s="261"/>
      <c r="AV214" s="261"/>
      <c r="AW214" s="27"/>
      <c r="AX214" s="27"/>
    </row>
    <row r="215" spans="1:5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61"/>
      <c r="AU215" s="261"/>
      <c r="AV215" s="261"/>
      <c r="AW215" s="27"/>
      <c r="AX215" s="27"/>
    </row>
    <row r="216" spans="1:5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61"/>
      <c r="AU216" s="261"/>
      <c r="AV216" s="261"/>
      <c r="AW216" s="27"/>
      <c r="AX216" s="27"/>
    </row>
    <row r="217" spans="1:5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61"/>
      <c r="AU217" s="261"/>
      <c r="AV217" s="261"/>
      <c r="AW217" s="27"/>
      <c r="AX217" s="27"/>
    </row>
    <row r="218" spans="1:5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61"/>
      <c r="AU218" s="261"/>
      <c r="AV218" s="261"/>
      <c r="AW218" s="27"/>
      <c r="AX218" s="27"/>
    </row>
    <row r="219" spans="1:5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61"/>
      <c r="AU219" s="261"/>
      <c r="AV219" s="261"/>
      <c r="AW219" s="27"/>
      <c r="AX219" s="27"/>
    </row>
    <row r="220" spans="1:5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61"/>
      <c r="AU220" s="261"/>
      <c r="AV220" s="261"/>
      <c r="AW220" s="27"/>
      <c r="AX220" s="27"/>
    </row>
    <row r="221" spans="1:5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61"/>
      <c r="AU221" s="261"/>
      <c r="AV221" s="261"/>
      <c r="AW221" s="27"/>
      <c r="AX221" s="27"/>
    </row>
    <row r="222" spans="1:5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61"/>
      <c r="AU222" s="261"/>
      <c r="AV222" s="261"/>
      <c r="AW222" s="27"/>
      <c r="AX222" s="27"/>
    </row>
    <row r="223" spans="1:5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61"/>
      <c r="AU223" s="261"/>
      <c r="AV223" s="261"/>
      <c r="AW223" s="27"/>
      <c r="AX223" s="27"/>
    </row>
    <row r="224" spans="1:5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61"/>
      <c r="AU224" s="261"/>
      <c r="AV224" s="261"/>
      <c r="AW224" s="27"/>
      <c r="AX224" s="27"/>
    </row>
    <row r="225" spans="1:5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61"/>
      <c r="AU225" s="261"/>
      <c r="AV225" s="261"/>
      <c r="AW225" s="27"/>
      <c r="AX225" s="27"/>
    </row>
    <row r="226" spans="1:5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61"/>
      <c r="AU226" s="261"/>
      <c r="AV226" s="261"/>
      <c r="AW226" s="27"/>
      <c r="AX226" s="27"/>
    </row>
    <row r="227" spans="1:5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61"/>
      <c r="AU227" s="261"/>
      <c r="AV227" s="261"/>
      <c r="AW227" s="27"/>
      <c r="AX227" s="27"/>
    </row>
    <row r="228" spans="1:5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61"/>
      <c r="AU228" s="261"/>
      <c r="AV228" s="261"/>
      <c r="AW228" s="27"/>
      <c r="AX228" s="27"/>
    </row>
    <row r="229" spans="1:5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61"/>
      <c r="AU229" s="261"/>
      <c r="AV229" s="261"/>
      <c r="AW229" s="27"/>
      <c r="AX229" s="27"/>
    </row>
    <row r="230" spans="1:5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61"/>
      <c r="AU230" s="261"/>
      <c r="AV230" s="261"/>
      <c r="AW230" s="27"/>
      <c r="AX230" s="27"/>
    </row>
    <row r="231" spans="1:5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61"/>
      <c r="AU231" s="261"/>
      <c r="AV231" s="261"/>
      <c r="AW231" s="27"/>
      <c r="AX231" s="27"/>
    </row>
    <row r="232" spans="1:5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61"/>
      <c r="AU232" s="261"/>
      <c r="AV232" s="261"/>
      <c r="AW232" s="27"/>
      <c r="AX232" s="27"/>
    </row>
    <row r="233" spans="1:5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61"/>
      <c r="AU233" s="261"/>
      <c r="AV233" s="261"/>
      <c r="AW233" s="27"/>
      <c r="AX233" s="27"/>
    </row>
    <row r="234" spans="1:5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61"/>
      <c r="AU234" s="261"/>
      <c r="AV234" s="261"/>
      <c r="AW234" s="27"/>
      <c r="AX234" s="27"/>
    </row>
    <row r="235" spans="1:5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61"/>
      <c r="AU235" s="261"/>
      <c r="AV235" s="261"/>
      <c r="AW235" s="27"/>
      <c r="AX235" s="27"/>
    </row>
    <row r="236" spans="1:5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61"/>
      <c r="AU236" s="261"/>
      <c r="AV236" s="261"/>
      <c r="AW236" s="27"/>
      <c r="AX236" s="27"/>
    </row>
    <row r="237" spans="1:5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61"/>
      <c r="AU237" s="261"/>
      <c r="AV237" s="261"/>
      <c r="AW237" s="27"/>
      <c r="AX237" s="27"/>
    </row>
    <row r="238" spans="1:5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61"/>
      <c r="AU238" s="261"/>
      <c r="AV238" s="261"/>
      <c r="AW238" s="27"/>
      <c r="AX238" s="27"/>
    </row>
    <row r="239" spans="1:5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61"/>
      <c r="AU239" s="261"/>
      <c r="AV239" s="261"/>
      <c r="AW239" s="27"/>
      <c r="AX239" s="27"/>
    </row>
    <row r="240" spans="1:5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61"/>
      <c r="AU240" s="261"/>
      <c r="AV240" s="261"/>
      <c r="AW240" s="27"/>
      <c r="AX240" s="27"/>
    </row>
    <row r="241" spans="1:5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61"/>
      <c r="AU241" s="261"/>
      <c r="AV241" s="261"/>
      <c r="AW241" s="27"/>
      <c r="AX241" s="27"/>
    </row>
    <row r="242" spans="1:5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61"/>
      <c r="AU242" s="261"/>
      <c r="AV242" s="261"/>
      <c r="AW242" s="27"/>
      <c r="AX242" s="27"/>
    </row>
    <row r="243" spans="1:5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61"/>
      <c r="AU243" s="261"/>
      <c r="AV243" s="261"/>
      <c r="AW243" s="27"/>
      <c r="AX243" s="27"/>
    </row>
    <row r="244" spans="1:5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61"/>
      <c r="AU244" s="261"/>
      <c r="AV244" s="261"/>
      <c r="AW244" s="27"/>
      <c r="AX244" s="27"/>
    </row>
    <row r="245" spans="1:5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61"/>
      <c r="AU245" s="261"/>
      <c r="AV245" s="261"/>
      <c r="AW245" s="27"/>
      <c r="AX245" s="27"/>
    </row>
    <row r="246" spans="1:5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61"/>
      <c r="AU246" s="261"/>
      <c r="AV246" s="261"/>
      <c r="AW246" s="27"/>
      <c r="AX246" s="27"/>
    </row>
    <row r="247" spans="1:5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61"/>
      <c r="AU247" s="261"/>
      <c r="AV247" s="261"/>
      <c r="AW247" s="27"/>
      <c r="AX247" s="27"/>
    </row>
    <row r="248" spans="1:5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61"/>
      <c r="AU248" s="261"/>
      <c r="AV248" s="261"/>
      <c r="AW248" s="27"/>
      <c r="AX248" s="27"/>
    </row>
    <row r="249" spans="1:5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61"/>
      <c r="AU249" s="261"/>
      <c r="AV249" s="261"/>
      <c r="AW249" s="27"/>
      <c r="AX249" s="27"/>
    </row>
    <row r="250" spans="1:5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61"/>
      <c r="AU250" s="261"/>
      <c r="AV250" s="261"/>
      <c r="AW250" s="27"/>
      <c r="AX250" s="27"/>
    </row>
    <row r="251" spans="1:5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61"/>
      <c r="AU251" s="261"/>
      <c r="AV251" s="261"/>
      <c r="AW251" s="27"/>
      <c r="AX251" s="27"/>
    </row>
    <row r="252" spans="1:5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61"/>
      <c r="AU252" s="261"/>
      <c r="AV252" s="261"/>
      <c r="AW252" s="27"/>
      <c r="AX252" s="27"/>
    </row>
    <row r="253" spans="1:5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61"/>
      <c r="AU253" s="261"/>
      <c r="AV253" s="261"/>
      <c r="AW253" s="27"/>
      <c r="AX253" s="27"/>
    </row>
    <row r="254" spans="1:5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61"/>
      <c r="AU254" s="261"/>
      <c r="AV254" s="261"/>
      <c r="AW254" s="27"/>
      <c r="AX254" s="27"/>
    </row>
    <row r="255" spans="1:5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61"/>
      <c r="AU255" s="261"/>
      <c r="AV255" s="261"/>
      <c r="AW255" s="27"/>
      <c r="AX255" s="27"/>
    </row>
    <row r="256" spans="1:5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61"/>
      <c r="AU256" s="261"/>
      <c r="AV256" s="261"/>
      <c r="AW256" s="27"/>
      <c r="AX256" s="27"/>
    </row>
    <row r="257" spans="1:5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61"/>
      <c r="AU257" s="261"/>
      <c r="AV257" s="261"/>
      <c r="AW257" s="27"/>
      <c r="AX257" s="27"/>
    </row>
    <row r="258" spans="1:5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61"/>
      <c r="AU258" s="261"/>
      <c r="AV258" s="261"/>
      <c r="AW258" s="27"/>
      <c r="AX258" s="27"/>
    </row>
    <row r="259" spans="1:5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61"/>
      <c r="AU259" s="261"/>
      <c r="AV259" s="261"/>
      <c r="AW259" s="27"/>
      <c r="AX259" s="27"/>
    </row>
    <row r="260" spans="1:5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61"/>
      <c r="AU260" s="261"/>
      <c r="AV260" s="261"/>
      <c r="AW260" s="27"/>
      <c r="AX260" s="27"/>
    </row>
    <row r="261" spans="1:5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61"/>
      <c r="AU261" s="261"/>
      <c r="AV261" s="261"/>
      <c r="AW261" s="27"/>
      <c r="AX261" s="27"/>
    </row>
    <row r="262" spans="1:5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61"/>
      <c r="AU262" s="261"/>
      <c r="AV262" s="261"/>
      <c r="AW262" s="27"/>
      <c r="AX262" s="27"/>
    </row>
    <row r="263" spans="1:5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61"/>
      <c r="AU263" s="261"/>
      <c r="AV263" s="261"/>
      <c r="AW263" s="27"/>
      <c r="AX263" s="27"/>
    </row>
    <row r="264" spans="1:5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61"/>
      <c r="AU264" s="261"/>
      <c r="AV264" s="261"/>
      <c r="AW264" s="27"/>
      <c r="AX264" s="27"/>
    </row>
    <row r="265" spans="1:5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61"/>
      <c r="AU265" s="261"/>
      <c r="AV265" s="261"/>
      <c r="AW265" s="27"/>
      <c r="AX265" s="27"/>
    </row>
    <row r="266" spans="1:5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61"/>
      <c r="AU266" s="261"/>
      <c r="AV266" s="261"/>
      <c r="AW266" s="27"/>
      <c r="AX266" s="27"/>
    </row>
    <row r="267" spans="1:5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61"/>
      <c r="AU267" s="261"/>
      <c r="AV267" s="261"/>
      <c r="AW267" s="27"/>
      <c r="AX267" s="27"/>
    </row>
    <row r="268" spans="1:5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61"/>
      <c r="AU268" s="261"/>
      <c r="AV268" s="261"/>
      <c r="AW268" s="27"/>
      <c r="AX268" s="27"/>
    </row>
    <row r="269" spans="1:5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61"/>
      <c r="AU269" s="261"/>
      <c r="AV269" s="261"/>
      <c r="AW269" s="27"/>
      <c r="AX269" s="27"/>
    </row>
    <row r="270" spans="1:5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61"/>
      <c r="AU270" s="261"/>
      <c r="AV270" s="261"/>
      <c r="AW270" s="27"/>
      <c r="AX270" s="27"/>
    </row>
    <row r="271" spans="1:5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61"/>
      <c r="AU271" s="261"/>
      <c r="AV271" s="261"/>
      <c r="AW271" s="27"/>
      <c r="AX271" s="27"/>
    </row>
    <row r="272" spans="1:5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61"/>
      <c r="AU272" s="261"/>
      <c r="AV272" s="261"/>
      <c r="AW272" s="27"/>
      <c r="AX272" s="27"/>
    </row>
    <row r="273" spans="1:5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61"/>
      <c r="AU273" s="261"/>
      <c r="AV273" s="261"/>
      <c r="AW273" s="27"/>
      <c r="AX273" s="27"/>
    </row>
    <row r="274" spans="1:5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61"/>
      <c r="AU274" s="261"/>
      <c r="AV274" s="261"/>
      <c r="AW274" s="27"/>
      <c r="AX274" s="27"/>
    </row>
    <row r="275" spans="1:5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61"/>
      <c r="AU275" s="261"/>
      <c r="AV275" s="261"/>
      <c r="AW275" s="27"/>
      <c r="AX275" s="27"/>
    </row>
    <row r="276" spans="1:5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61"/>
      <c r="AU276" s="261"/>
      <c r="AV276" s="261"/>
      <c r="AW276" s="27"/>
      <c r="AX276" s="27"/>
    </row>
    <row r="277" spans="1:5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61"/>
      <c r="AU277" s="261"/>
      <c r="AV277" s="261"/>
      <c r="AW277" s="27"/>
      <c r="AX277" s="27"/>
    </row>
    <row r="278" spans="1:5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61"/>
      <c r="AU278" s="261"/>
      <c r="AV278" s="261"/>
      <c r="AW278" s="27"/>
      <c r="AX278" s="27"/>
    </row>
    <row r="279" spans="1:5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61"/>
      <c r="AU279" s="261"/>
      <c r="AV279" s="261"/>
      <c r="AW279" s="27"/>
      <c r="AX279" s="27"/>
    </row>
    <row r="280" spans="1:5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61"/>
      <c r="AU280" s="261"/>
      <c r="AV280" s="261"/>
      <c r="AW280" s="27"/>
      <c r="AX280" s="27"/>
    </row>
    <row r="281" spans="1:5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61"/>
      <c r="AU281" s="261"/>
      <c r="AV281" s="261"/>
      <c r="AW281" s="27"/>
      <c r="AX281" s="27"/>
    </row>
    <row r="282" spans="1:5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61"/>
      <c r="AU282" s="261"/>
      <c r="AV282" s="261"/>
      <c r="AW282" s="27"/>
      <c r="AX282" s="27"/>
    </row>
    <row r="283" spans="1:5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61"/>
      <c r="AU283" s="261"/>
      <c r="AV283" s="261"/>
      <c r="AW283" s="27"/>
      <c r="AX283" s="27"/>
    </row>
    <row r="284" spans="1:5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61"/>
      <c r="AU284" s="261"/>
      <c r="AV284" s="261"/>
      <c r="AW284" s="27"/>
      <c r="AX284" s="27"/>
    </row>
    <row r="285" spans="1:5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61"/>
      <c r="AU285" s="261"/>
      <c r="AV285" s="261"/>
      <c r="AW285" s="27"/>
      <c r="AX285" s="27"/>
    </row>
    <row r="286" spans="1:5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61"/>
      <c r="AU286" s="261"/>
      <c r="AV286" s="261"/>
      <c r="AW286" s="27"/>
      <c r="AX286" s="27"/>
    </row>
    <row r="287" spans="1:5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61"/>
      <c r="AU287" s="261"/>
      <c r="AV287" s="261"/>
      <c r="AW287" s="27"/>
      <c r="AX287" s="27"/>
    </row>
    <row r="288" spans="1:5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61"/>
      <c r="AU288" s="261"/>
      <c r="AV288" s="261"/>
      <c r="AW288" s="27"/>
      <c r="AX288" s="27"/>
    </row>
    <row r="289" spans="1:5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61"/>
      <c r="AU289" s="261"/>
      <c r="AV289" s="261"/>
      <c r="AW289" s="27"/>
      <c r="AX289" s="27"/>
    </row>
    <row r="290" spans="1:5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61"/>
      <c r="AU290" s="261"/>
      <c r="AV290" s="261"/>
      <c r="AW290" s="27"/>
      <c r="AX290" s="27"/>
    </row>
    <row r="291" spans="1:5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61"/>
      <c r="AU291" s="261"/>
      <c r="AV291" s="261"/>
      <c r="AW291" s="27"/>
      <c r="AX291" s="27"/>
    </row>
    <row r="292" spans="1:5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61"/>
      <c r="AU292" s="261"/>
      <c r="AV292" s="261"/>
      <c r="AW292" s="27"/>
      <c r="AX292" s="27"/>
    </row>
    <row r="293" spans="1:5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61"/>
      <c r="AU293" s="261"/>
      <c r="AV293" s="261"/>
      <c r="AW293" s="27"/>
      <c r="AX293" s="27"/>
    </row>
    <row r="294" spans="1:5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61"/>
      <c r="AU294" s="261"/>
      <c r="AV294" s="261"/>
      <c r="AW294" s="27"/>
      <c r="AX294" s="27"/>
    </row>
    <row r="295" spans="1:5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61"/>
      <c r="AU295" s="261"/>
      <c r="AV295" s="261"/>
      <c r="AW295" s="27"/>
      <c r="AX295" s="27"/>
    </row>
    <row r="296" spans="1:5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61"/>
      <c r="AU296" s="261"/>
      <c r="AV296" s="261"/>
      <c r="AW296" s="27"/>
      <c r="AX296" s="27"/>
    </row>
    <row r="297" spans="1:5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61"/>
      <c r="AU297" s="261"/>
      <c r="AV297" s="261"/>
      <c r="AW297" s="27"/>
      <c r="AX297" s="27"/>
    </row>
    <row r="298" spans="1:5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61"/>
      <c r="AU298" s="261"/>
      <c r="AV298" s="261"/>
      <c r="AW298" s="27"/>
      <c r="AX298" s="27"/>
    </row>
    <row r="299" spans="1:5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61"/>
      <c r="AU299" s="261"/>
      <c r="AV299" s="261"/>
      <c r="AW299" s="27"/>
      <c r="AX299" s="27"/>
    </row>
    <row r="300" spans="1:5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61"/>
      <c r="AU300" s="261"/>
      <c r="AV300" s="261"/>
      <c r="AW300" s="27"/>
      <c r="AX300" s="27"/>
    </row>
    <row r="301" spans="1:5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61"/>
      <c r="AU301" s="261"/>
      <c r="AV301" s="261"/>
      <c r="AW301" s="27"/>
      <c r="AX301" s="27"/>
    </row>
    <row r="302" spans="1:5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61"/>
      <c r="AU302" s="261"/>
      <c r="AV302" s="261"/>
      <c r="AW302" s="27"/>
      <c r="AX302" s="27"/>
    </row>
    <row r="303" spans="1:5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61"/>
      <c r="AU303" s="261"/>
      <c r="AV303" s="261"/>
      <c r="AW303" s="27"/>
      <c r="AX303" s="27"/>
    </row>
    <row r="304" spans="1:5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61"/>
      <c r="AU304" s="261"/>
      <c r="AV304" s="261"/>
      <c r="AW304" s="27"/>
      <c r="AX304" s="27"/>
    </row>
    <row r="305" spans="1:5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61"/>
      <c r="AU305" s="261"/>
      <c r="AV305" s="261"/>
      <c r="AW305" s="27"/>
      <c r="AX305" s="27"/>
    </row>
    <row r="306" spans="1:5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61"/>
      <c r="AU306" s="261"/>
      <c r="AV306" s="261"/>
      <c r="AW306" s="27"/>
      <c r="AX306" s="27"/>
    </row>
    <row r="307" spans="1:5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61"/>
      <c r="AU307" s="261"/>
      <c r="AV307" s="261"/>
      <c r="AW307" s="27"/>
      <c r="AX307" s="27"/>
    </row>
    <row r="308" spans="1:5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61"/>
      <c r="AU308" s="261"/>
      <c r="AV308" s="261"/>
      <c r="AW308" s="27"/>
      <c r="AX308" s="27"/>
    </row>
    <row r="309" spans="1:5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61"/>
      <c r="AU309" s="261"/>
      <c r="AV309" s="261"/>
      <c r="AW309" s="27"/>
      <c r="AX309" s="27"/>
    </row>
    <row r="310" spans="1:5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61"/>
      <c r="AU310" s="261"/>
      <c r="AV310" s="261"/>
      <c r="AW310" s="27"/>
      <c r="AX310" s="27"/>
    </row>
    <row r="311" spans="1:5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61"/>
      <c r="AU311" s="261"/>
      <c r="AV311" s="261"/>
      <c r="AW311" s="27"/>
      <c r="AX311" s="27"/>
    </row>
    <row r="312" spans="1:5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61"/>
      <c r="AU312" s="261"/>
      <c r="AV312" s="261"/>
      <c r="AW312" s="27"/>
      <c r="AX312" s="27"/>
    </row>
    <row r="313" spans="1:5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61"/>
      <c r="AU313" s="261"/>
      <c r="AV313" s="261"/>
      <c r="AW313" s="27"/>
      <c r="AX313" s="27"/>
    </row>
    <row r="314" spans="1:5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61"/>
      <c r="AU314" s="261"/>
      <c r="AV314" s="261"/>
      <c r="AW314" s="27"/>
      <c r="AX314" s="27"/>
    </row>
    <row r="315" spans="1:5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61"/>
      <c r="AU315" s="261"/>
      <c r="AV315" s="261"/>
      <c r="AW315" s="27"/>
      <c r="AX315" s="27"/>
    </row>
    <row r="316" spans="1:5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61"/>
      <c r="AU316" s="261"/>
      <c r="AV316" s="261"/>
      <c r="AW316" s="27"/>
      <c r="AX316" s="27"/>
    </row>
    <row r="317" spans="1:5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61"/>
      <c r="AU317" s="261"/>
      <c r="AV317" s="261"/>
      <c r="AW317" s="27"/>
      <c r="AX317" s="27"/>
    </row>
    <row r="318" spans="1:5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61"/>
      <c r="AU318" s="261"/>
      <c r="AV318" s="261"/>
      <c r="AW318" s="27"/>
      <c r="AX318" s="27"/>
    </row>
    <row r="319" spans="1:5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61"/>
      <c r="AU319" s="261"/>
      <c r="AV319" s="261"/>
      <c r="AW319" s="27"/>
      <c r="AX319" s="27"/>
    </row>
    <row r="320" spans="1:5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61"/>
      <c r="AU320" s="261"/>
      <c r="AV320" s="261"/>
      <c r="AW320" s="27"/>
      <c r="AX320" s="27"/>
    </row>
    <row r="321" spans="1:5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61"/>
      <c r="AU321" s="261"/>
      <c r="AV321" s="261"/>
      <c r="AW321" s="27"/>
      <c r="AX321" s="27"/>
    </row>
    <row r="322" spans="1:5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61"/>
      <c r="AU322" s="261"/>
      <c r="AV322" s="261"/>
      <c r="AW322" s="27"/>
      <c r="AX322" s="27"/>
    </row>
    <row r="323" spans="1:5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61"/>
      <c r="AU323" s="261"/>
      <c r="AV323" s="261"/>
      <c r="AW323" s="27"/>
      <c r="AX323" s="27"/>
    </row>
    <row r="324" spans="1:5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61"/>
      <c r="AU324" s="261"/>
      <c r="AV324" s="261"/>
      <c r="AW324" s="27"/>
      <c r="AX324" s="27"/>
    </row>
    <row r="325" spans="1:5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61"/>
      <c r="AU325" s="261"/>
      <c r="AV325" s="261"/>
      <c r="AW325" s="27"/>
      <c r="AX325" s="27"/>
    </row>
    <row r="326" spans="1:5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61"/>
      <c r="AU326" s="261"/>
      <c r="AV326" s="261"/>
      <c r="AW326" s="27"/>
      <c r="AX326" s="27"/>
    </row>
    <row r="327" spans="1:5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61"/>
      <c r="AU327" s="261"/>
      <c r="AV327" s="261"/>
      <c r="AW327" s="27"/>
      <c r="AX327" s="27"/>
    </row>
    <row r="328" spans="1:5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61"/>
      <c r="AU328" s="261"/>
      <c r="AV328" s="261"/>
      <c r="AW328" s="27"/>
      <c r="AX328" s="27"/>
    </row>
    <row r="329" spans="1:5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61"/>
      <c r="AU329" s="261"/>
      <c r="AV329" s="261"/>
      <c r="AW329" s="27"/>
      <c r="AX329" s="27"/>
    </row>
    <row r="330" spans="1:5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61"/>
      <c r="AU330" s="261"/>
      <c r="AV330" s="261"/>
      <c r="AW330" s="27"/>
      <c r="AX330" s="27"/>
    </row>
    <row r="331" spans="1:5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61"/>
      <c r="AU331" s="261"/>
      <c r="AV331" s="261"/>
      <c r="AW331" s="27"/>
      <c r="AX331" s="27"/>
    </row>
    <row r="332" spans="1:5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61"/>
      <c r="AU332" s="261"/>
      <c r="AV332" s="261"/>
      <c r="AW332" s="27"/>
      <c r="AX332" s="27"/>
    </row>
    <row r="333" spans="1:5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61"/>
      <c r="AU333" s="261"/>
      <c r="AV333" s="261"/>
      <c r="AW333" s="27"/>
      <c r="AX333" s="27"/>
    </row>
    <row r="334" spans="1:5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61"/>
      <c r="AU334" s="261"/>
      <c r="AV334" s="261"/>
      <c r="AW334" s="27"/>
      <c r="AX334" s="27"/>
    </row>
    <row r="335" spans="1:5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61"/>
      <c r="AU335" s="261"/>
      <c r="AV335" s="261"/>
      <c r="AW335" s="27"/>
      <c r="AX335" s="27"/>
    </row>
    <row r="336" spans="1:5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61"/>
      <c r="AU336" s="261"/>
      <c r="AV336" s="261"/>
      <c r="AW336" s="27"/>
      <c r="AX336" s="27"/>
    </row>
    <row r="337" spans="1:5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61"/>
      <c r="AU337" s="261"/>
      <c r="AV337" s="261"/>
      <c r="AW337" s="27"/>
      <c r="AX337" s="27"/>
    </row>
    <row r="338" spans="1:5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61"/>
      <c r="AU338" s="261"/>
      <c r="AV338" s="261"/>
      <c r="AW338" s="27"/>
      <c r="AX338" s="27"/>
    </row>
    <row r="339" spans="1:5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61"/>
      <c r="AU339" s="261"/>
      <c r="AV339" s="261"/>
      <c r="AW339" s="27"/>
      <c r="AX339" s="27"/>
    </row>
    <row r="340" spans="1:5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61"/>
      <c r="AU340" s="261"/>
      <c r="AV340" s="261"/>
      <c r="AW340" s="27"/>
      <c r="AX340" s="27"/>
    </row>
    <row r="341" spans="1:5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61"/>
      <c r="AU341" s="261"/>
      <c r="AV341" s="261"/>
      <c r="AW341" s="27"/>
      <c r="AX341" s="27"/>
    </row>
    <row r="342" spans="1:5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61"/>
      <c r="AU342" s="261"/>
      <c r="AV342" s="261"/>
      <c r="AW342" s="27"/>
      <c r="AX342" s="27"/>
    </row>
    <row r="343" spans="1:5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61"/>
      <c r="AU343" s="261"/>
      <c r="AV343" s="261"/>
      <c r="AW343" s="27"/>
      <c r="AX343" s="27"/>
    </row>
    <row r="344" spans="1:5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61"/>
      <c r="AU344" s="261"/>
      <c r="AV344" s="261"/>
      <c r="AW344" s="27"/>
      <c r="AX344" s="27"/>
    </row>
    <row r="345" spans="1:5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61"/>
      <c r="AU345" s="261"/>
      <c r="AV345" s="261"/>
      <c r="AW345" s="27"/>
      <c r="AX345" s="27"/>
    </row>
    <row r="346" spans="1:5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61"/>
      <c r="AU346" s="261"/>
      <c r="AV346" s="261"/>
      <c r="AW346" s="27"/>
      <c r="AX346" s="27"/>
    </row>
    <row r="347" spans="1:5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61"/>
      <c r="AU347" s="261"/>
      <c r="AV347" s="261"/>
      <c r="AW347" s="27"/>
      <c r="AX347" s="27"/>
    </row>
    <row r="348" spans="1:5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61"/>
      <c r="AU348" s="261"/>
      <c r="AV348" s="261"/>
      <c r="AW348" s="27"/>
      <c r="AX348" s="27"/>
    </row>
    <row r="349" spans="1:5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61"/>
      <c r="AU349" s="261"/>
      <c r="AV349" s="261"/>
      <c r="AW349" s="27"/>
      <c r="AX349" s="27"/>
    </row>
    <row r="350" spans="1:5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61"/>
      <c r="AU350" s="261"/>
      <c r="AV350" s="261"/>
      <c r="AW350" s="27"/>
      <c r="AX350" s="27"/>
    </row>
    <row r="351" spans="1:5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61"/>
      <c r="AU351" s="261"/>
      <c r="AV351" s="261"/>
      <c r="AW351" s="27"/>
      <c r="AX351" s="27"/>
    </row>
    <row r="352" spans="1:5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61"/>
      <c r="AU352" s="261"/>
      <c r="AV352" s="261"/>
      <c r="AW352" s="27"/>
      <c r="AX352" s="27"/>
    </row>
    <row r="353" spans="1:5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61"/>
      <c r="AU353" s="261"/>
      <c r="AV353" s="261"/>
      <c r="AW353" s="27"/>
      <c r="AX353" s="27"/>
    </row>
    <row r="354" spans="1:5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61"/>
      <c r="AU354" s="261"/>
      <c r="AV354" s="261"/>
      <c r="AW354" s="27"/>
      <c r="AX354" s="27"/>
    </row>
    <row r="355" spans="1:5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61"/>
      <c r="AU355" s="261"/>
      <c r="AV355" s="261"/>
      <c r="AW355" s="27"/>
      <c r="AX355" s="27"/>
    </row>
    <row r="356" spans="1:5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61"/>
      <c r="AU356" s="261"/>
      <c r="AV356" s="261"/>
      <c r="AW356" s="27"/>
      <c r="AX356" s="27"/>
    </row>
    <row r="357" spans="1:5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61"/>
      <c r="AU357" s="261"/>
      <c r="AV357" s="261"/>
      <c r="AW357" s="27"/>
      <c r="AX357" s="27"/>
    </row>
    <row r="358" spans="1:5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61"/>
      <c r="AU358" s="261"/>
      <c r="AV358" s="261"/>
      <c r="AW358" s="27"/>
      <c r="AX358" s="27"/>
    </row>
    <row r="359" spans="1:5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61"/>
      <c r="AU359" s="261"/>
      <c r="AV359" s="261"/>
      <c r="AW359" s="27"/>
      <c r="AX359" s="27"/>
    </row>
    <row r="360" spans="1:5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61"/>
      <c r="AU360" s="261"/>
      <c r="AV360" s="261"/>
      <c r="AW360" s="27"/>
      <c r="AX360" s="27"/>
    </row>
    <row r="361" spans="1:5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61"/>
      <c r="AU361" s="261"/>
      <c r="AV361" s="261"/>
      <c r="AW361" s="27"/>
      <c r="AX361" s="27"/>
    </row>
    <row r="362" spans="1:5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61"/>
      <c r="AU362" s="261"/>
      <c r="AV362" s="261"/>
      <c r="AW362" s="27"/>
      <c r="AX362" s="27"/>
    </row>
    <row r="363" spans="1:5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61"/>
      <c r="AU363" s="261"/>
      <c r="AV363" s="261"/>
      <c r="AW363" s="27"/>
      <c r="AX363" s="27"/>
    </row>
    <row r="364" spans="1:5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61"/>
      <c r="AU364" s="261"/>
      <c r="AV364" s="261"/>
      <c r="AW364" s="27"/>
      <c r="AX364" s="27"/>
    </row>
    <row r="365" spans="1:5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61"/>
      <c r="AU365" s="261"/>
      <c r="AV365" s="261"/>
      <c r="AW365" s="27"/>
      <c r="AX365" s="27"/>
    </row>
    <row r="366" spans="1:5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61"/>
      <c r="AU366" s="261"/>
      <c r="AV366" s="261"/>
      <c r="AW366" s="27"/>
      <c r="AX366" s="27"/>
    </row>
    <row r="367" spans="1:5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61"/>
      <c r="AU367" s="261"/>
      <c r="AV367" s="261"/>
      <c r="AW367" s="27"/>
      <c r="AX367" s="27"/>
    </row>
    <row r="368" spans="1:5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61"/>
      <c r="AU368" s="261"/>
      <c r="AV368" s="261"/>
      <c r="AW368" s="27"/>
      <c r="AX368" s="27"/>
    </row>
    <row r="369" spans="1:5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61"/>
      <c r="AU369" s="261"/>
      <c r="AV369" s="261"/>
      <c r="AW369" s="27"/>
      <c r="AX369" s="27"/>
    </row>
    <row r="370" spans="1:5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61"/>
      <c r="AU370" s="261"/>
      <c r="AV370" s="261"/>
      <c r="AW370" s="27"/>
      <c r="AX370" s="27"/>
    </row>
    <row r="371" spans="1:5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61"/>
      <c r="AU371" s="261"/>
      <c r="AV371" s="261"/>
      <c r="AW371" s="27"/>
      <c r="AX371" s="27"/>
    </row>
    <row r="372" spans="1:5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61"/>
      <c r="AU372" s="261"/>
      <c r="AV372" s="261"/>
      <c r="AW372" s="27"/>
      <c r="AX372" s="27"/>
    </row>
    <row r="373" spans="1:5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61"/>
      <c r="AU373" s="261"/>
      <c r="AV373" s="261"/>
      <c r="AW373" s="27"/>
      <c r="AX373" s="27"/>
    </row>
    <row r="374" spans="1:5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61"/>
      <c r="AU374" s="261"/>
      <c r="AV374" s="261"/>
      <c r="AW374" s="27"/>
      <c r="AX374" s="27"/>
    </row>
    <row r="375" spans="1:5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61"/>
      <c r="AU375" s="261"/>
      <c r="AV375" s="261"/>
      <c r="AW375" s="27"/>
      <c r="AX375" s="27"/>
    </row>
    <row r="376" spans="1:5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61"/>
      <c r="AU376" s="261"/>
      <c r="AV376" s="261"/>
      <c r="AW376" s="27"/>
      <c r="AX376" s="27"/>
    </row>
    <row r="377" spans="1:5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61"/>
      <c r="AU377" s="261"/>
      <c r="AV377" s="261"/>
      <c r="AW377" s="27"/>
      <c r="AX377" s="27"/>
    </row>
    <row r="378" spans="1:5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61"/>
      <c r="AU378" s="261"/>
      <c r="AV378" s="261"/>
      <c r="AW378" s="27"/>
      <c r="AX378" s="27"/>
    </row>
    <row r="379" spans="1:5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61"/>
      <c r="AU379" s="261"/>
      <c r="AV379" s="261"/>
      <c r="AW379" s="27"/>
      <c r="AX379" s="27"/>
    </row>
    <row r="380" spans="1:5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61"/>
      <c r="AU380" s="261"/>
      <c r="AV380" s="261"/>
      <c r="AW380" s="27"/>
      <c r="AX380" s="27"/>
    </row>
    <row r="381" spans="1:5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61"/>
      <c r="AU381" s="261"/>
      <c r="AV381" s="261"/>
      <c r="AW381" s="27"/>
      <c r="AX381" s="27"/>
    </row>
    <row r="382" spans="1:5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61"/>
      <c r="AU382" s="261"/>
      <c r="AV382" s="261"/>
      <c r="AW382" s="27"/>
      <c r="AX382" s="27"/>
    </row>
    <row r="383" spans="1:5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61"/>
      <c r="AU383" s="261"/>
      <c r="AV383" s="261"/>
      <c r="AW383" s="27"/>
      <c r="AX383" s="27"/>
    </row>
    <row r="384" spans="1:5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61"/>
      <c r="AU384" s="261"/>
      <c r="AV384" s="261"/>
      <c r="AW384" s="27"/>
      <c r="AX384" s="27"/>
    </row>
    <row r="385" spans="1:5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61"/>
      <c r="AU385" s="261"/>
      <c r="AV385" s="261"/>
      <c r="AW385" s="27"/>
      <c r="AX385" s="27"/>
    </row>
    <row r="386" spans="1:5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61"/>
      <c r="AU386" s="261"/>
      <c r="AV386" s="261"/>
      <c r="AW386" s="27"/>
      <c r="AX386" s="27"/>
    </row>
    <row r="387" spans="1:5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61"/>
      <c r="AU387" s="261"/>
      <c r="AV387" s="261"/>
      <c r="AW387" s="27"/>
      <c r="AX387" s="27"/>
    </row>
    <row r="388" spans="1:5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61"/>
      <c r="AU388" s="261"/>
      <c r="AV388" s="261"/>
      <c r="AW388" s="27"/>
      <c r="AX388" s="27"/>
    </row>
    <row r="389" spans="1:5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61"/>
      <c r="AU389" s="261"/>
      <c r="AV389" s="261"/>
      <c r="AW389" s="27"/>
      <c r="AX389" s="27"/>
    </row>
    <row r="390" spans="1:5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61"/>
      <c r="AU390" s="261"/>
      <c r="AV390" s="261"/>
      <c r="AW390" s="27"/>
      <c r="AX390" s="27"/>
    </row>
    <row r="391" spans="1:5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61"/>
      <c r="AU391" s="261"/>
      <c r="AV391" s="261"/>
      <c r="AW391" s="27"/>
      <c r="AX391" s="27"/>
    </row>
    <row r="392" spans="1:5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61"/>
      <c r="AU392" s="261"/>
      <c r="AV392" s="261"/>
      <c r="AW392" s="27"/>
      <c r="AX392" s="27"/>
    </row>
    <row r="393" spans="1:5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61"/>
      <c r="AU393" s="261"/>
      <c r="AV393" s="261"/>
      <c r="AW393" s="27"/>
      <c r="AX393" s="27"/>
    </row>
    <row r="394" spans="1:5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61"/>
      <c r="AU394" s="261"/>
      <c r="AV394" s="261"/>
      <c r="AW394" s="27"/>
      <c r="AX394" s="27"/>
    </row>
    <row r="395" spans="1:5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61"/>
      <c r="AU395" s="261"/>
      <c r="AV395" s="261"/>
      <c r="AW395" s="27"/>
      <c r="AX395" s="27"/>
    </row>
    <row r="396" spans="1:5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61"/>
      <c r="AU396" s="261"/>
      <c r="AV396" s="261"/>
      <c r="AW396" s="27"/>
      <c r="AX396" s="27"/>
    </row>
    <row r="397" spans="1:5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61"/>
      <c r="AU397" s="261"/>
      <c r="AV397" s="261"/>
      <c r="AW397" s="27"/>
      <c r="AX397" s="27"/>
    </row>
    <row r="398" spans="1:5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61"/>
      <c r="AU398" s="261"/>
      <c r="AV398" s="261"/>
      <c r="AW398" s="27"/>
      <c r="AX398" s="27"/>
    </row>
    <row r="399" spans="1:5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61"/>
      <c r="AU399" s="261"/>
      <c r="AV399" s="261"/>
      <c r="AW399" s="27"/>
      <c r="AX399" s="27"/>
    </row>
    <row r="400" spans="1:5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61"/>
      <c r="AU400" s="261"/>
      <c r="AV400" s="261"/>
      <c r="AW400" s="27"/>
      <c r="AX400" s="27"/>
    </row>
    <row r="401" spans="1:5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61"/>
      <c r="AU401" s="261"/>
      <c r="AV401" s="261"/>
      <c r="AW401" s="27"/>
      <c r="AX401" s="27"/>
    </row>
    <row r="402" spans="1:5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61"/>
      <c r="AU402" s="261"/>
      <c r="AV402" s="261"/>
      <c r="AW402" s="27"/>
      <c r="AX402" s="27"/>
    </row>
    <row r="403" spans="1:5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61"/>
      <c r="AU403" s="261"/>
      <c r="AV403" s="261"/>
      <c r="AW403" s="27"/>
      <c r="AX403" s="27"/>
    </row>
    <row r="404" spans="1:5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61"/>
      <c r="AU404" s="261"/>
      <c r="AV404" s="261"/>
      <c r="AW404" s="27"/>
      <c r="AX404" s="27"/>
    </row>
    <row r="405" spans="1:5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61"/>
      <c r="AU405" s="261"/>
      <c r="AV405" s="261"/>
      <c r="AW405" s="27"/>
      <c r="AX405" s="27"/>
    </row>
    <row r="406" spans="1:5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61"/>
      <c r="AU406" s="261"/>
      <c r="AV406" s="261"/>
      <c r="AW406" s="27"/>
      <c r="AX406" s="27"/>
    </row>
    <row r="407" spans="1:5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61"/>
      <c r="AU407" s="261"/>
      <c r="AV407" s="261"/>
      <c r="AW407" s="27"/>
      <c r="AX407" s="27"/>
    </row>
    <row r="408" spans="1:5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61"/>
      <c r="AU408" s="261"/>
      <c r="AV408" s="261"/>
      <c r="AW408" s="27"/>
      <c r="AX408" s="27"/>
    </row>
    <row r="409" spans="1:5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61"/>
      <c r="AU409" s="261"/>
      <c r="AV409" s="261"/>
      <c r="AW409" s="27"/>
      <c r="AX409" s="27"/>
    </row>
    <row r="410" spans="1:5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61"/>
      <c r="AU410" s="261"/>
      <c r="AV410" s="261"/>
      <c r="AW410" s="27"/>
      <c r="AX410" s="27"/>
    </row>
    <row r="411" spans="1:5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61"/>
      <c r="AU411" s="261"/>
      <c r="AV411" s="261"/>
      <c r="AW411" s="27"/>
      <c r="AX411" s="27"/>
    </row>
    <row r="412" spans="1:5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61"/>
      <c r="AU412" s="261"/>
      <c r="AV412" s="261"/>
      <c r="AW412" s="27"/>
      <c r="AX412" s="27"/>
    </row>
    <row r="413" spans="1:5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61"/>
      <c r="AU413" s="261"/>
      <c r="AV413" s="261"/>
      <c r="AW413" s="27"/>
      <c r="AX413" s="27"/>
    </row>
    <row r="414" spans="1:5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61"/>
      <c r="AU414" s="261"/>
      <c r="AV414" s="261"/>
      <c r="AW414" s="27"/>
      <c r="AX414" s="27"/>
    </row>
    <row r="415" spans="1:5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61"/>
      <c r="AU415" s="261"/>
      <c r="AV415" s="261"/>
      <c r="AW415" s="27"/>
      <c r="AX415" s="27"/>
    </row>
    <row r="416" spans="1:5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61"/>
      <c r="AU416" s="261"/>
      <c r="AV416" s="261"/>
      <c r="AW416" s="27"/>
      <c r="AX416" s="27"/>
    </row>
    <row r="417" spans="1:5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61"/>
      <c r="AU417" s="261"/>
      <c r="AV417" s="261"/>
      <c r="AW417" s="27"/>
      <c r="AX417" s="27"/>
    </row>
    <row r="418" spans="1:5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61"/>
      <c r="AU418" s="261"/>
      <c r="AV418" s="261"/>
      <c r="AW418" s="27"/>
      <c r="AX418" s="27"/>
    </row>
    <row r="419" spans="1:5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61"/>
      <c r="AU419" s="261"/>
      <c r="AV419" s="261"/>
      <c r="AW419" s="27"/>
      <c r="AX419" s="27"/>
    </row>
    <row r="420" spans="1:5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61"/>
      <c r="AU420" s="261"/>
      <c r="AV420" s="261"/>
      <c r="AW420" s="27"/>
      <c r="AX420" s="27"/>
    </row>
    <row r="421" spans="1:5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61"/>
      <c r="AU421" s="261"/>
      <c r="AV421" s="261"/>
      <c r="AW421" s="27"/>
      <c r="AX421" s="27"/>
    </row>
    <row r="422" spans="1:5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61"/>
      <c r="AU422" s="261"/>
      <c r="AV422" s="261"/>
      <c r="AW422" s="27"/>
      <c r="AX422" s="27"/>
    </row>
    <row r="423" spans="1:5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61"/>
      <c r="AU423" s="261"/>
      <c r="AV423" s="261"/>
      <c r="AW423" s="27"/>
      <c r="AX423" s="27"/>
    </row>
    <row r="424" spans="1:5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61"/>
      <c r="AU424" s="261"/>
      <c r="AV424" s="261"/>
      <c r="AW424" s="27"/>
      <c r="AX424" s="27"/>
    </row>
    <row r="425" spans="1:5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61"/>
      <c r="AU425" s="261"/>
      <c r="AV425" s="261"/>
      <c r="AW425" s="27"/>
      <c r="AX425" s="27"/>
    </row>
    <row r="426" spans="1:5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61"/>
      <c r="AU426" s="261"/>
      <c r="AV426" s="261"/>
      <c r="AW426" s="27"/>
      <c r="AX426" s="27"/>
    </row>
    <row r="427" spans="1:5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61"/>
      <c r="AU427" s="261"/>
      <c r="AV427" s="261"/>
      <c r="AW427" s="27"/>
      <c r="AX427" s="27"/>
    </row>
    <row r="428" spans="1:5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61"/>
      <c r="AU428" s="261"/>
      <c r="AV428" s="261"/>
      <c r="AW428" s="27"/>
      <c r="AX428" s="27"/>
    </row>
    <row r="429" spans="1:5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61"/>
      <c r="AU429" s="261"/>
      <c r="AV429" s="261"/>
      <c r="AW429" s="27"/>
      <c r="AX429" s="27"/>
    </row>
    <row r="430" spans="1:5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61"/>
      <c r="AU430" s="261"/>
      <c r="AV430" s="261"/>
      <c r="AW430" s="27"/>
      <c r="AX430" s="27"/>
    </row>
    <row r="431" spans="1:5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61"/>
      <c r="AU431" s="261"/>
      <c r="AV431" s="261"/>
      <c r="AW431" s="27"/>
      <c r="AX431" s="27"/>
    </row>
    <row r="432" spans="1:5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61"/>
      <c r="AU432" s="261"/>
      <c r="AV432" s="261"/>
      <c r="AW432" s="27"/>
      <c r="AX432" s="27"/>
    </row>
    <row r="433" spans="1:5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61"/>
      <c r="AU433" s="261"/>
      <c r="AV433" s="261"/>
      <c r="AW433" s="27"/>
      <c r="AX433" s="27"/>
    </row>
    <row r="434" spans="1:5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61"/>
      <c r="AU434" s="261"/>
      <c r="AV434" s="261"/>
      <c r="AW434" s="27"/>
      <c r="AX434" s="27"/>
    </row>
    <row r="435" spans="1:5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61"/>
      <c r="AU435" s="261"/>
      <c r="AV435" s="261"/>
      <c r="AW435" s="27"/>
      <c r="AX435" s="27"/>
    </row>
    <row r="436" spans="1:5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61"/>
      <c r="AU436" s="261"/>
      <c r="AV436" s="261"/>
      <c r="AW436" s="27"/>
      <c r="AX436" s="27"/>
    </row>
    <row r="437" spans="1:5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61"/>
      <c r="AU437" s="261"/>
      <c r="AV437" s="261"/>
      <c r="AW437" s="27"/>
      <c r="AX437" s="27"/>
    </row>
    <row r="438" spans="1:5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61"/>
      <c r="AU438" s="261"/>
      <c r="AV438" s="261"/>
      <c r="AW438" s="27"/>
      <c r="AX438" s="27"/>
    </row>
    <row r="439" spans="1:5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61"/>
      <c r="AU439" s="261"/>
      <c r="AV439" s="261"/>
      <c r="AW439" s="27"/>
      <c r="AX439" s="27"/>
    </row>
    <row r="440" spans="1:5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61"/>
      <c r="AU440" s="261"/>
      <c r="AV440" s="261"/>
      <c r="AW440" s="27"/>
      <c r="AX440" s="27"/>
    </row>
    <row r="441" spans="1:5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61"/>
      <c r="AU441" s="261"/>
      <c r="AV441" s="261"/>
      <c r="AW441" s="27"/>
      <c r="AX441" s="27"/>
    </row>
    <row r="442" spans="1:5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61"/>
      <c r="AU442" s="261"/>
      <c r="AV442" s="261"/>
      <c r="AW442" s="27"/>
      <c r="AX442" s="27"/>
    </row>
    <row r="443" spans="1:5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61"/>
      <c r="AU443" s="261"/>
      <c r="AV443" s="261"/>
      <c r="AW443" s="27"/>
      <c r="AX443" s="27"/>
    </row>
    <row r="444" spans="1:5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61"/>
      <c r="AU444" s="261"/>
      <c r="AV444" s="261"/>
      <c r="AW444" s="27"/>
      <c r="AX444" s="27"/>
    </row>
    <row r="445" spans="1:5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61"/>
      <c r="AU445" s="261"/>
      <c r="AV445" s="261"/>
      <c r="AW445" s="27"/>
      <c r="AX445" s="27"/>
    </row>
    <row r="446" spans="1:5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61"/>
      <c r="AU446" s="261"/>
      <c r="AV446" s="261"/>
      <c r="AW446" s="27"/>
      <c r="AX446" s="27"/>
    </row>
    <row r="447" spans="1:5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61"/>
      <c r="AU447" s="261"/>
      <c r="AV447" s="261"/>
      <c r="AW447" s="27"/>
      <c r="AX447" s="27"/>
    </row>
    <row r="448" spans="1:5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61"/>
      <c r="AU448" s="261"/>
      <c r="AV448" s="261"/>
      <c r="AW448" s="27"/>
      <c r="AX448" s="27"/>
    </row>
    <row r="449" spans="1:5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61"/>
      <c r="AU449" s="261"/>
      <c r="AV449" s="261"/>
      <c r="AW449" s="27"/>
      <c r="AX449" s="27"/>
    </row>
    <row r="450" spans="1:5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61"/>
      <c r="AU450" s="261"/>
      <c r="AV450" s="261"/>
      <c r="AW450" s="27"/>
      <c r="AX450" s="27"/>
    </row>
    <row r="451" spans="1:5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61"/>
      <c r="AU451" s="261"/>
      <c r="AV451" s="261"/>
      <c r="AW451" s="27"/>
      <c r="AX451" s="27"/>
    </row>
    <row r="452" spans="1:5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61"/>
      <c r="AU452" s="261"/>
      <c r="AV452" s="261"/>
      <c r="AW452" s="27"/>
      <c r="AX452" s="27"/>
    </row>
    <row r="453" spans="1:5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61"/>
      <c r="AU453" s="261"/>
      <c r="AV453" s="261"/>
      <c r="AW453" s="27"/>
      <c r="AX453" s="27"/>
    </row>
    <row r="454" spans="1:5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61"/>
      <c r="AU454" s="261"/>
      <c r="AV454" s="261"/>
      <c r="AW454" s="27"/>
      <c r="AX454" s="27"/>
    </row>
    <row r="455" spans="1:5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61"/>
      <c r="AU455" s="261"/>
      <c r="AV455" s="261"/>
      <c r="AW455" s="27"/>
      <c r="AX455" s="27"/>
    </row>
    <row r="456" spans="1:5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61"/>
      <c r="AU456" s="261"/>
      <c r="AV456" s="261"/>
      <c r="AW456" s="27"/>
      <c r="AX456" s="27"/>
    </row>
    <row r="457" spans="1:5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61"/>
      <c r="AU457" s="261"/>
      <c r="AV457" s="261"/>
      <c r="AW457" s="27"/>
      <c r="AX457" s="27"/>
    </row>
    <row r="458" spans="1:5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61"/>
      <c r="AU458" s="261"/>
      <c r="AV458" s="261"/>
      <c r="AW458" s="27"/>
      <c r="AX458" s="27"/>
    </row>
    <row r="459" spans="1:5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61"/>
      <c r="AU459" s="261"/>
      <c r="AV459" s="261"/>
      <c r="AW459" s="27"/>
      <c r="AX459" s="27"/>
    </row>
    <row r="460" spans="1:5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61"/>
      <c r="AU460" s="261"/>
      <c r="AV460" s="261"/>
      <c r="AW460" s="27"/>
      <c r="AX460" s="27"/>
    </row>
    <row r="461" spans="1:5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61"/>
      <c r="AU461" s="261"/>
      <c r="AV461" s="261"/>
      <c r="AW461" s="27"/>
      <c r="AX461" s="27"/>
    </row>
    <row r="462" spans="1:5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61"/>
      <c r="AU462" s="261"/>
      <c r="AV462" s="261"/>
      <c r="AW462" s="27"/>
      <c r="AX462" s="27"/>
    </row>
    <row r="463" spans="1:5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61"/>
      <c r="AU463" s="261"/>
      <c r="AV463" s="261"/>
      <c r="AW463" s="27"/>
      <c r="AX463" s="27"/>
    </row>
    <row r="464" spans="1:5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61"/>
      <c r="AU464" s="261"/>
      <c r="AV464" s="261"/>
      <c r="AW464" s="27"/>
      <c r="AX464" s="27"/>
    </row>
    <row r="465" spans="1:5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61"/>
      <c r="AU465" s="261"/>
      <c r="AV465" s="261"/>
      <c r="AW465" s="27"/>
      <c r="AX465" s="27"/>
    </row>
    <row r="466" spans="1:5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61"/>
      <c r="AU466" s="261"/>
      <c r="AV466" s="261"/>
      <c r="AW466" s="27"/>
      <c r="AX466" s="27"/>
    </row>
    <row r="467" spans="1:5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61"/>
      <c r="AU467" s="261"/>
      <c r="AV467" s="261"/>
      <c r="AW467" s="27"/>
      <c r="AX467" s="27"/>
    </row>
    <row r="468" spans="1:5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61"/>
      <c r="AU468" s="261"/>
      <c r="AV468" s="261"/>
      <c r="AW468" s="27"/>
      <c r="AX468" s="27"/>
    </row>
    <row r="469" spans="1:5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61"/>
      <c r="AU469" s="261"/>
      <c r="AV469" s="261"/>
      <c r="AW469" s="27"/>
      <c r="AX469" s="27"/>
    </row>
    <row r="470" spans="1:5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61"/>
      <c r="AU470" s="261"/>
      <c r="AV470" s="261"/>
      <c r="AW470" s="27"/>
      <c r="AX470" s="27"/>
    </row>
    <row r="471" spans="1:5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61"/>
      <c r="AU471" s="261"/>
      <c r="AV471" s="261"/>
      <c r="AW471" s="27"/>
      <c r="AX471" s="27"/>
    </row>
    <row r="472" spans="1:5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61"/>
      <c r="AU472" s="261"/>
      <c r="AV472" s="261"/>
      <c r="AW472" s="27"/>
      <c r="AX472" s="27"/>
    </row>
    <row r="473" spans="1:5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61"/>
      <c r="AU473" s="261"/>
      <c r="AV473" s="261"/>
      <c r="AW473" s="27"/>
      <c r="AX473" s="27"/>
    </row>
    <row r="474" spans="1:5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61"/>
      <c r="AU474" s="261"/>
      <c r="AV474" s="261"/>
      <c r="AW474" s="27"/>
      <c r="AX474" s="27"/>
    </row>
    <row r="475" spans="1:5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61"/>
      <c r="AU475" s="261"/>
      <c r="AV475" s="261"/>
      <c r="AW475" s="27"/>
      <c r="AX475" s="27"/>
    </row>
    <row r="476" spans="1:5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61"/>
      <c r="AU476" s="261"/>
      <c r="AV476" s="261"/>
      <c r="AW476" s="27"/>
      <c r="AX476" s="27"/>
    </row>
    <row r="477" spans="1:5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61"/>
      <c r="AU477" s="261"/>
      <c r="AV477" s="261"/>
      <c r="AW477" s="27"/>
      <c r="AX477" s="27"/>
    </row>
    <row r="478" spans="1:5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61"/>
      <c r="AU478" s="261"/>
      <c r="AV478" s="261"/>
      <c r="AW478" s="27"/>
      <c r="AX478" s="27"/>
    </row>
    <row r="479" spans="1:5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61"/>
      <c r="AU479" s="261"/>
      <c r="AV479" s="261"/>
      <c r="AW479" s="27"/>
      <c r="AX479" s="27"/>
    </row>
    <row r="480" spans="1:5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61"/>
      <c r="AU480" s="261"/>
      <c r="AV480" s="261"/>
      <c r="AW480" s="27"/>
      <c r="AX480" s="27"/>
    </row>
    <row r="481" spans="1:5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61"/>
      <c r="AU481" s="261"/>
      <c r="AV481" s="261"/>
      <c r="AW481" s="27"/>
      <c r="AX481" s="27"/>
    </row>
    <row r="482" spans="1:5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61"/>
      <c r="AU482" s="261"/>
      <c r="AV482" s="261"/>
      <c r="AW482" s="27"/>
      <c r="AX482" s="27"/>
    </row>
    <row r="483" spans="1:5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61"/>
      <c r="AU483" s="261"/>
      <c r="AV483" s="261"/>
      <c r="AW483" s="27"/>
      <c r="AX483" s="27"/>
    </row>
    <row r="484" spans="1:5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61"/>
      <c r="AU484" s="261"/>
      <c r="AV484" s="261"/>
      <c r="AW484" s="27"/>
      <c r="AX484" s="27"/>
    </row>
    <row r="485" spans="1:5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61"/>
      <c r="AU485" s="261"/>
      <c r="AV485" s="261"/>
      <c r="AW485" s="27"/>
      <c r="AX485" s="27"/>
    </row>
    <row r="486" spans="1:5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61"/>
      <c r="AU486" s="261"/>
      <c r="AV486" s="261"/>
      <c r="AW486" s="27"/>
      <c r="AX486" s="27"/>
    </row>
    <row r="487" spans="1:5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61"/>
      <c r="AU487" s="261"/>
      <c r="AV487" s="261"/>
      <c r="AW487" s="27"/>
      <c r="AX487" s="27"/>
    </row>
    <row r="488" spans="1:5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61"/>
      <c r="AU488" s="261"/>
      <c r="AV488" s="261"/>
      <c r="AW488" s="27"/>
      <c r="AX488" s="27"/>
    </row>
    <row r="489" spans="1:5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61"/>
      <c r="AU489" s="261"/>
      <c r="AV489" s="261"/>
      <c r="AW489" s="27"/>
      <c r="AX489" s="27"/>
    </row>
    <row r="490" spans="1:5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61"/>
      <c r="AU490" s="261"/>
      <c r="AV490" s="261"/>
      <c r="AW490" s="27"/>
      <c r="AX490" s="27"/>
    </row>
    <row r="491" spans="1:5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61"/>
      <c r="AU491" s="261"/>
      <c r="AV491" s="261"/>
      <c r="AW491" s="27"/>
      <c r="AX491" s="27"/>
    </row>
    <row r="492" spans="1:5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61"/>
      <c r="AU492" s="261"/>
      <c r="AV492" s="261"/>
      <c r="AW492" s="27"/>
      <c r="AX492" s="27"/>
    </row>
    <row r="493" spans="1:5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61"/>
      <c r="AU493" s="261"/>
      <c r="AV493" s="261"/>
      <c r="AW493" s="27"/>
      <c r="AX493" s="27"/>
    </row>
    <row r="494" spans="1:5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61"/>
      <c r="AU494" s="261"/>
      <c r="AV494" s="261"/>
      <c r="AW494" s="27"/>
      <c r="AX494" s="27"/>
    </row>
    <row r="495" spans="1:5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61"/>
      <c r="AU495" s="261"/>
      <c r="AV495" s="261"/>
      <c r="AW495" s="27"/>
      <c r="AX495" s="27"/>
    </row>
    <row r="496" spans="1:5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61"/>
      <c r="AU496" s="261"/>
      <c r="AV496" s="261"/>
      <c r="AW496" s="27"/>
      <c r="AX496" s="27"/>
    </row>
    <row r="497" spans="1:5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61"/>
      <c r="AU497" s="261"/>
      <c r="AV497" s="261"/>
      <c r="AW497" s="27"/>
      <c r="AX497" s="27"/>
    </row>
    <row r="498" spans="1:5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61"/>
      <c r="AU498" s="261"/>
      <c r="AV498" s="261"/>
      <c r="AW498" s="27"/>
      <c r="AX498" s="27"/>
    </row>
    <row r="499" spans="1:5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61"/>
      <c r="AU499" s="261"/>
      <c r="AV499" s="261"/>
      <c r="AW499" s="27"/>
      <c r="AX499" s="27"/>
    </row>
    <row r="500" spans="1:5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61"/>
      <c r="AU500" s="261"/>
      <c r="AV500" s="261"/>
      <c r="AW500" s="27"/>
      <c r="AX500" s="27"/>
    </row>
    <row r="501" spans="1:5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61"/>
      <c r="AU501" s="261"/>
      <c r="AV501" s="261"/>
      <c r="AW501" s="27"/>
      <c r="AX501" s="27"/>
    </row>
    <row r="502" spans="1:5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61"/>
      <c r="AU502" s="261"/>
      <c r="AV502" s="261"/>
      <c r="AW502" s="27"/>
      <c r="AX502" s="27"/>
    </row>
    <row r="503" spans="1:5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61"/>
      <c r="AU503" s="261"/>
      <c r="AV503" s="261"/>
      <c r="AW503" s="27"/>
      <c r="AX503" s="27"/>
    </row>
    <row r="504" spans="1:5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61"/>
      <c r="AU504" s="261"/>
      <c r="AV504" s="261"/>
      <c r="AW504" s="27"/>
      <c r="AX504" s="27"/>
    </row>
    <row r="505" spans="1:5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61"/>
      <c r="AU505" s="261"/>
      <c r="AV505" s="261"/>
      <c r="AW505" s="27"/>
      <c r="AX505" s="27"/>
    </row>
    <row r="506" spans="1:5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61"/>
      <c r="AU506" s="261"/>
      <c r="AV506" s="261"/>
      <c r="AW506" s="27"/>
      <c r="AX506" s="27"/>
    </row>
    <row r="507" spans="1:5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61"/>
      <c r="AU507" s="261"/>
      <c r="AV507" s="261"/>
      <c r="AW507" s="27"/>
      <c r="AX507" s="27"/>
    </row>
    <row r="508" spans="1:5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61"/>
      <c r="AU508" s="261"/>
      <c r="AV508" s="261"/>
      <c r="AW508" s="27"/>
      <c r="AX508" s="27"/>
    </row>
    <row r="509" spans="1:5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61"/>
      <c r="AU509" s="261"/>
      <c r="AV509" s="261"/>
      <c r="AW509" s="27"/>
      <c r="AX509" s="27"/>
    </row>
    <row r="510" spans="1:5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61"/>
      <c r="AU510" s="261"/>
      <c r="AV510" s="261"/>
      <c r="AW510" s="27"/>
      <c r="AX510" s="27"/>
    </row>
    <row r="511" spans="1:5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61"/>
      <c r="AU511" s="261"/>
      <c r="AV511" s="261"/>
      <c r="AW511" s="27"/>
      <c r="AX511" s="27"/>
    </row>
    <row r="512" spans="1:5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61"/>
      <c r="AU512" s="261"/>
      <c r="AV512" s="261"/>
      <c r="AW512" s="27"/>
      <c r="AX512" s="27"/>
    </row>
    <row r="513" spans="1:5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61"/>
      <c r="AU513" s="261"/>
      <c r="AV513" s="261"/>
      <c r="AW513" s="27"/>
      <c r="AX513" s="27"/>
    </row>
    <row r="514" spans="1:5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61"/>
      <c r="AU514" s="261"/>
      <c r="AV514" s="261"/>
      <c r="AW514" s="27"/>
      <c r="AX514" s="27"/>
    </row>
    <row r="515" spans="1:5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61"/>
      <c r="AU515" s="261"/>
      <c r="AV515" s="261"/>
      <c r="AW515" s="27"/>
      <c r="AX515" s="27"/>
    </row>
    <row r="516" spans="1:5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61"/>
      <c r="AU516" s="261"/>
      <c r="AV516" s="261"/>
      <c r="AW516" s="27"/>
      <c r="AX516" s="27"/>
    </row>
    <row r="517" spans="1:5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61"/>
      <c r="AU517" s="261"/>
      <c r="AV517" s="261"/>
      <c r="AW517" s="27"/>
      <c r="AX517" s="27"/>
    </row>
    <row r="518" spans="1:5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61"/>
      <c r="AU518" s="261"/>
      <c r="AV518" s="261"/>
      <c r="AW518" s="27"/>
      <c r="AX518" s="27"/>
    </row>
    <row r="519" spans="1:5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61"/>
      <c r="AU519" s="261"/>
      <c r="AV519" s="261"/>
      <c r="AW519" s="27"/>
      <c r="AX519" s="27"/>
    </row>
    <row r="520" spans="1:5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61"/>
      <c r="AU520" s="261"/>
      <c r="AV520" s="261"/>
      <c r="AW520" s="27"/>
      <c r="AX520" s="27"/>
    </row>
    <row r="521" spans="1:5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61"/>
      <c r="AU521" s="261"/>
      <c r="AV521" s="261"/>
      <c r="AW521" s="27"/>
      <c r="AX521" s="27"/>
    </row>
    <row r="522" spans="1:5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61"/>
      <c r="AU522" s="261"/>
      <c r="AV522" s="261"/>
      <c r="AW522" s="27"/>
      <c r="AX522" s="27"/>
    </row>
    <row r="523" spans="1:5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61"/>
      <c r="AU523" s="261"/>
      <c r="AV523" s="261"/>
      <c r="AW523" s="27"/>
      <c r="AX523" s="27"/>
    </row>
    <row r="524" spans="1:5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61"/>
      <c r="AU524" s="261"/>
      <c r="AV524" s="261"/>
      <c r="AW524" s="27"/>
      <c r="AX524" s="27"/>
    </row>
    <row r="525" spans="1:5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61"/>
      <c r="AU525" s="261"/>
      <c r="AV525" s="261"/>
      <c r="AW525" s="27"/>
      <c r="AX525" s="27"/>
    </row>
    <row r="526" spans="1:5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61"/>
      <c r="AU526" s="261"/>
      <c r="AV526" s="261"/>
      <c r="AW526" s="27"/>
      <c r="AX526" s="27"/>
    </row>
    <row r="527" spans="1:5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61"/>
      <c r="AU527" s="261"/>
      <c r="AV527" s="261"/>
      <c r="AW527" s="27"/>
      <c r="AX527" s="27"/>
    </row>
    <row r="528" spans="1:5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61"/>
      <c r="AU528" s="261"/>
      <c r="AV528" s="261"/>
      <c r="AW528" s="27"/>
      <c r="AX528" s="27"/>
    </row>
    <row r="529" spans="1:5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61"/>
      <c r="AU529" s="261"/>
      <c r="AV529" s="261"/>
      <c r="AW529" s="27"/>
      <c r="AX529" s="27"/>
    </row>
    <row r="530" spans="1:5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61"/>
      <c r="AU530" s="261"/>
      <c r="AV530" s="261"/>
      <c r="AW530" s="27"/>
      <c r="AX530" s="27"/>
    </row>
    <row r="531" spans="1:5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61"/>
      <c r="AU531" s="261"/>
      <c r="AV531" s="261"/>
      <c r="AW531" s="27"/>
      <c r="AX531" s="27"/>
    </row>
    <row r="532" spans="1:5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61"/>
      <c r="AU532" s="261"/>
      <c r="AV532" s="261"/>
      <c r="AW532" s="27"/>
      <c r="AX532" s="27"/>
    </row>
    <row r="533" spans="1:5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61"/>
      <c r="AU533" s="261"/>
      <c r="AV533" s="261"/>
      <c r="AW533" s="27"/>
      <c r="AX533" s="27"/>
    </row>
    <row r="534" spans="1:5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61"/>
      <c r="AU534" s="261"/>
      <c r="AV534" s="261"/>
      <c r="AW534" s="27"/>
      <c r="AX534" s="27"/>
    </row>
    <row r="535" spans="1:5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61"/>
      <c r="AU535" s="261"/>
      <c r="AV535" s="261"/>
      <c r="AW535" s="27"/>
      <c r="AX535" s="27"/>
    </row>
    <row r="536" spans="1:5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61"/>
      <c r="AU536" s="261"/>
      <c r="AV536" s="261"/>
      <c r="AW536" s="27"/>
      <c r="AX536" s="27"/>
    </row>
    <row r="537" spans="1:5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61"/>
      <c r="AU537" s="261"/>
      <c r="AV537" s="261"/>
      <c r="AW537" s="27"/>
      <c r="AX537" s="27"/>
    </row>
    <row r="538" spans="1:5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61"/>
      <c r="AU538" s="261"/>
      <c r="AV538" s="261"/>
      <c r="AW538" s="27"/>
      <c r="AX538" s="27"/>
    </row>
    <row r="539" spans="1:5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61"/>
      <c r="AU539" s="261"/>
      <c r="AV539" s="261"/>
      <c r="AW539" s="27"/>
      <c r="AX539" s="27"/>
    </row>
    <row r="540" spans="1:5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61"/>
      <c r="AU540" s="261"/>
      <c r="AV540" s="261"/>
      <c r="AW540" s="27"/>
      <c r="AX540" s="27"/>
    </row>
    <row r="541" spans="1:5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61"/>
      <c r="AU541" s="261"/>
      <c r="AV541" s="261"/>
      <c r="AW541" s="27"/>
      <c r="AX541" s="27"/>
    </row>
    <row r="542" spans="1:5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61"/>
      <c r="AU542" s="261"/>
      <c r="AV542" s="261"/>
      <c r="AW542" s="27"/>
      <c r="AX542" s="27"/>
    </row>
    <row r="543" spans="1:5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61"/>
      <c r="AU543" s="261"/>
      <c r="AV543" s="261"/>
      <c r="AW543" s="27"/>
      <c r="AX543" s="27"/>
    </row>
    <row r="544" spans="1:5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61"/>
      <c r="AU544" s="261"/>
      <c r="AV544" s="261"/>
      <c r="AW544" s="27"/>
      <c r="AX544" s="27"/>
    </row>
    <row r="545" spans="1:5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61"/>
      <c r="AU545" s="261"/>
      <c r="AV545" s="261"/>
      <c r="AW545" s="27"/>
      <c r="AX545" s="27"/>
    </row>
    <row r="546" spans="1:5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61"/>
      <c r="AU546" s="261"/>
      <c r="AV546" s="261"/>
      <c r="AW546" s="27"/>
      <c r="AX546" s="27"/>
    </row>
    <row r="547" spans="1:5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61"/>
      <c r="AU547" s="261"/>
      <c r="AV547" s="261"/>
      <c r="AW547" s="27"/>
      <c r="AX547" s="27"/>
    </row>
    <row r="548" spans="1:5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61"/>
      <c r="AU548" s="261"/>
      <c r="AV548" s="261"/>
      <c r="AW548" s="27"/>
      <c r="AX548" s="27"/>
    </row>
    <row r="549" spans="1:5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61"/>
      <c r="AU549" s="261"/>
      <c r="AV549" s="261"/>
      <c r="AW549" s="27"/>
      <c r="AX549" s="27"/>
    </row>
    <row r="550" spans="1:5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61"/>
      <c r="AU550" s="261"/>
      <c r="AV550" s="261"/>
      <c r="AW550" s="27"/>
      <c r="AX550" s="27"/>
    </row>
    <row r="551" spans="1:5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61"/>
      <c r="AU551" s="261"/>
      <c r="AV551" s="261"/>
      <c r="AW551" s="27"/>
      <c r="AX551" s="27"/>
    </row>
    <row r="552" spans="1:5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61"/>
      <c r="AU552" s="261"/>
      <c r="AV552" s="261"/>
      <c r="AW552" s="27"/>
      <c r="AX552" s="27"/>
    </row>
    <row r="553" spans="1:5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61"/>
      <c r="AU553" s="261"/>
      <c r="AV553" s="261"/>
      <c r="AW553" s="27"/>
      <c r="AX553" s="27"/>
    </row>
    <row r="554" spans="1:5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61"/>
      <c r="AU554" s="261"/>
      <c r="AV554" s="261"/>
      <c r="AW554" s="27"/>
      <c r="AX554" s="27"/>
    </row>
    <row r="555" spans="1:5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61"/>
      <c r="AU555" s="261"/>
      <c r="AV555" s="261"/>
      <c r="AW555" s="27"/>
      <c r="AX555" s="27"/>
    </row>
    <row r="556" spans="1:5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61"/>
      <c r="AU556" s="261"/>
      <c r="AV556" s="261"/>
      <c r="AW556" s="27"/>
      <c r="AX556" s="27"/>
    </row>
    <row r="557" spans="1:5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61"/>
      <c r="AU557" s="261"/>
      <c r="AV557" s="261"/>
      <c r="AW557" s="27"/>
      <c r="AX557" s="27"/>
    </row>
    <row r="558" spans="1:5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61"/>
      <c r="AU558" s="261"/>
      <c r="AV558" s="261"/>
      <c r="AW558" s="27"/>
      <c r="AX558" s="27"/>
    </row>
    <row r="559" spans="1:5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61"/>
      <c r="AU559" s="261"/>
      <c r="AV559" s="261"/>
      <c r="AW559" s="27"/>
      <c r="AX559" s="27"/>
    </row>
    <row r="560" spans="1:5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61"/>
      <c r="AU560" s="261"/>
      <c r="AV560" s="261"/>
      <c r="AW560" s="27"/>
      <c r="AX560" s="27"/>
    </row>
    <row r="561" spans="1:5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61"/>
      <c r="AU561" s="261"/>
      <c r="AV561" s="261"/>
      <c r="AW561" s="27"/>
      <c r="AX561" s="27"/>
    </row>
    <row r="562" spans="1:5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61"/>
      <c r="AU562" s="261"/>
      <c r="AV562" s="261"/>
      <c r="AW562" s="27"/>
      <c r="AX562" s="27"/>
    </row>
    <row r="563" spans="1:5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61"/>
      <c r="AU563" s="261"/>
      <c r="AV563" s="261"/>
      <c r="AW563" s="27"/>
      <c r="AX563" s="27"/>
    </row>
    <row r="564" spans="1:5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61"/>
      <c r="AU564" s="261"/>
      <c r="AV564" s="261"/>
      <c r="AW564" s="27"/>
      <c r="AX564" s="27"/>
    </row>
    <row r="565" spans="1:5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61"/>
      <c r="AU565" s="261"/>
      <c r="AV565" s="261"/>
      <c r="AW565" s="27"/>
      <c r="AX565" s="27"/>
    </row>
    <row r="566" spans="1:5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61"/>
      <c r="AU566" s="261"/>
      <c r="AV566" s="261"/>
      <c r="AW566" s="27"/>
      <c r="AX566" s="27"/>
    </row>
    <row r="567" spans="1:5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61"/>
      <c r="AU567" s="261"/>
      <c r="AV567" s="261"/>
      <c r="AW567" s="27"/>
      <c r="AX567" s="27"/>
    </row>
    <row r="568" spans="1:5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61"/>
      <c r="AU568" s="261"/>
      <c r="AV568" s="261"/>
      <c r="AW568" s="27"/>
      <c r="AX568" s="27"/>
    </row>
    <row r="569" spans="1:5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61"/>
      <c r="AU569" s="261"/>
      <c r="AV569" s="261"/>
      <c r="AW569" s="27"/>
      <c r="AX569" s="27"/>
    </row>
    <row r="570" spans="1:5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61"/>
      <c r="AU570" s="261"/>
      <c r="AV570" s="261"/>
      <c r="AW570" s="27"/>
      <c r="AX570" s="27"/>
    </row>
    <row r="571" spans="1:5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61"/>
      <c r="AU571" s="261"/>
      <c r="AV571" s="261"/>
      <c r="AW571" s="27"/>
      <c r="AX571" s="27"/>
    </row>
    <row r="572" spans="1:5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61"/>
      <c r="AU572" s="261"/>
      <c r="AV572" s="261"/>
      <c r="AW572" s="27"/>
      <c r="AX572" s="27"/>
    </row>
    <row r="573" spans="1:5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61"/>
      <c r="AU573" s="261"/>
      <c r="AV573" s="261"/>
      <c r="AW573" s="27"/>
      <c r="AX573" s="27"/>
    </row>
    <row r="574" spans="1:5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61"/>
      <c r="AU574" s="261"/>
      <c r="AV574" s="261"/>
      <c r="AW574" s="27"/>
      <c r="AX574" s="27"/>
    </row>
    <row r="575" spans="1:5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61"/>
      <c r="AU575" s="261"/>
      <c r="AV575" s="261"/>
      <c r="AW575" s="27"/>
      <c r="AX575" s="27"/>
    </row>
    <row r="576" spans="1:5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61"/>
      <c r="AU576" s="261"/>
      <c r="AV576" s="261"/>
      <c r="AW576" s="27"/>
      <c r="AX576" s="27"/>
    </row>
    <row r="577" spans="1:5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61"/>
      <c r="AU577" s="261"/>
      <c r="AV577" s="261"/>
      <c r="AW577" s="27"/>
      <c r="AX577" s="27"/>
    </row>
    <row r="578" spans="1:5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61"/>
      <c r="AU578" s="261"/>
      <c r="AV578" s="261"/>
      <c r="AW578" s="27"/>
      <c r="AX578" s="27"/>
    </row>
    <row r="579" spans="1:5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61"/>
      <c r="AU579" s="261"/>
      <c r="AV579" s="261"/>
      <c r="AW579" s="27"/>
      <c r="AX579" s="27"/>
    </row>
    <row r="580" spans="1:5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61"/>
      <c r="AU580" s="261"/>
      <c r="AV580" s="261"/>
      <c r="AW580" s="27"/>
      <c r="AX580" s="27"/>
    </row>
    <row r="581" spans="1:5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61"/>
      <c r="AU581" s="261"/>
      <c r="AV581" s="261"/>
      <c r="AW581" s="27"/>
      <c r="AX581" s="27"/>
    </row>
    <row r="582" spans="1:5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61"/>
      <c r="AU582" s="261"/>
      <c r="AV582" s="261"/>
      <c r="AW582" s="27"/>
      <c r="AX582" s="27"/>
    </row>
    <row r="583" spans="1:5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61"/>
      <c r="AU583" s="261"/>
      <c r="AV583" s="261"/>
      <c r="AW583" s="27"/>
      <c r="AX583" s="27"/>
    </row>
    <row r="584" spans="1:5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61"/>
      <c r="AU584" s="261"/>
      <c r="AV584" s="261"/>
      <c r="AW584" s="27"/>
      <c r="AX584" s="27"/>
    </row>
    <row r="585" spans="1:5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61"/>
      <c r="AU585" s="261"/>
      <c r="AV585" s="261"/>
      <c r="AW585" s="27"/>
      <c r="AX585" s="27"/>
    </row>
    <row r="586" spans="1:5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61"/>
      <c r="AU586" s="261"/>
      <c r="AV586" s="261"/>
      <c r="AW586" s="27"/>
      <c r="AX586" s="27"/>
    </row>
    <row r="587" spans="1:5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61"/>
      <c r="AU587" s="261"/>
      <c r="AV587" s="261"/>
      <c r="AW587" s="27"/>
      <c r="AX587" s="27"/>
    </row>
    <row r="588" spans="1:5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61"/>
      <c r="AU588" s="261"/>
      <c r="AV588" s="261"/>
      <c r="AW588" s="27"/>
      <c r="AX588" s="27"/>
    </row>
    <row r="589" spans="1:5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61"/>
      <c r="AU589" s="261"/>
      <c r="AV589" s="261"/>
      <c r="AW589" s="27"/>
      <c r="AX589" s="27"/>
    </row>
    <row r="590" spans="1:5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61"/>
      <c r="AU590" s="261"/>
      <c r="AV590" s="261"/>
      <c r="AW590" s="27"/>
      <c r="AX590" s="27"/>
    </row>
    <row r="591" spans="1:5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61"/>
      <c r="AU591" s="261"/>
      <c r="AV591" s="261"/>
      <c r="AW591" s="27"/>
      <c r="AX591" s="27"/>
    </row>
    <row r="592" spans="1:5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61"/>
      <c r="AU592" s="261"/>
      <c r="AV592" s="261"/>
      <c r="AW592" s="27"/>
      <c r="AX592" s="27"/>
    </row>
    <row r="593" spans="1:5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61"/>
      <c r="AU593" s="261"/>
      <c r="AV593" s="261"/>
      <c r="AW593" s="27"/>
      <c r="AX593" s="27"/>
    </row>
    <row r="594" spans="1:5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61"/>
      <c r="AU594" s="261"/>
      <c r="AV594" s="261"/>
      <c r="AW594" s="27"/>
      <c r="AX594" s="27"/>
    </row>
    <row r="595" spans="1:5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61"/>
      <c r="AU595" s="261"/>
      <c r="AV595" s="261"/>
      <c r="AW595" s="27"/>
      <c r="AX595" s="27"/>
    </row>
    <row r="596" spans="1:5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61"/>
      <c r="AU596" s="261"/>
      <c r="AV596" s="261"/>
      <c r="AW596" s="27"/>
      <c r="AX596" s="27"/>
    </row>
    <row r="597" spans="1:5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61"/>
      <c r="AU597" s="261"/>
      <c r="AV597" s="261"/>
      <c r="AW597" s="27"/>
      <c r="AX597" s="27"/>
    </row>
    <row r="598" spans="1:5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61"/>
      <c r="AU598" s="261"/>
      <c r="AV598" s="261"/>
      <c r="AW598" s="27"/>
      <c r="AX598" s="27"/>
    </row>
    <row r="599" spans="1:5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61"/>
      <c r="AU599" s="261"/>
      <c r="AV599" s="261"/>
      <c r="AW599" s="27"/>
      <c r="AX599" s="27"/>
    </row>
    <row r="600" spans="1:5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61"/>
      <c r="AU600" s="261"/>
      <c r="AV600" s="261"/>
      <c r="AW600" s="27"/>
      <c r="AX600" s="27"/>
    </row>
    <row r="601" spans="1:5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61"/>
      <c r="AU601" s="261"/>
      <c r="AV601" s="261"/>
      <c r="AW601" s="27"/>
      <c r="AX601" s="27"/>
    </row>
    <row r="602" spans="1:5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61"/>
      <c r="AU602" s="261"/>
      <c r="AV602" s="261"/>
      <c r="AW602" s="27"/>
      <c r="AX602" s="27"/>
    </row>
    <row r="603" spans="1:5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61"/>
      <c r="AU603" s="261"/>
      <c r="AV603" s="261"/>
      <c r="AW603" s="27"/>
      <c r="AX603" s="27"/>
    </row>
    <row r="604" spans="1:5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61"/>
      <c r="AU604" s="261"/>
      <c r="AV604" s="261"/>
      <c r="AW604" s="27"/>
      <c r="AX604" s="27"/>
    </row>
    <row r="605" spans="1:5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61"/>
      <c r="AU605" s="261"/>
      <c r="AV605" s="261"/>
      <c r="AW605" s="27"/>
      <c r="AX605" s="27"/>
    </row>
    <row r="606" spans="1:5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61"/>
      <c r="AU606" s="261"/>
      <c r="AV606" s="261"/>
      <c r="AW606" s="27"/>
      <c r="AX606" s="27"/>
    </row>
    <row r="607" spans="1:5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61"/>
      <c r="AU607" s="261"/>
      <c r="AV607" s="261"/>
      <c r="AW607" s="27"/>
      <c r="AX607" s="27"/>
    </row>
    <row r="608" spans="1:5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61"/>
      <c r="AU608" s="261"/>
      <c r="AV608" s="261"/>
      <c r="AW608" s="27"/>
      <c r="AX608" s="27"/>
    </row>
    <row r="609" spans="1:5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61"/>
      <c r="AU609" s="261"/>
      <c r="AV609" s="261"/>
      <c r="AW609" s="27"/>
      <c r="AX609" s="27"/>
    </row>
    <row r="610" spans="1:5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61"/>
      <c r="AU610" s="261"/>
      <c r="AV610" s="261"/>
      <c r="AW610" s="27"/>
      <c r="AX610" s="27"/>
    </row>
    <row r="611" spans="1:5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61"/>
      <c r="AU611" s="261"/>
      <c r="AV611" s="261"/>
      <c r="AW611" s="27"/>
      <c r="AX611" s="27"/>
    </row>
    <row r="612" spans="1:5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61"/>
      <c r="AU612" s="261"/>
      <c r="AV612" s="261"/>
      <c r="AW612" s="27"/>
      <c r="AX612" s="27"/>
    </row>
    <row r="613" spans="1:5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61"/>
      <c r="AU613" s="261"/>
      <c r="AV613" s="261"/>
      <c r="AW613" s="27"/>
      <c r="AX613" s="27"/>
    </row>
    <row r="614" spans="1:5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61"/>
      <c r="AU614" s="261"/>
      <c r="AV614" s="261"/>
      <c r="AW614" s="27"/>
      <c r="AX614" s="27"/>
    </row>
    <row r="615" spans="1:5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61"/>
      <c r="AU615" s="261"/>
      <c r="AV615" s="261"/>
      <c r="AW615" s="27"/>
      <c r="AX615" s="27"/>
    </row>
    <row r="616" spans="1:5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61"/>
      <c r="AU616" s="261"/>
      <c r="AV616" s="261"/>
      <c r="AW616" s="27"/>
      <c r="AX616" s="27"/>
    </row>
    <row r="617" spans="1:5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61"/>
      <c r="AU617" s="261"/>
      <c r="AV617" s="261"/>
      <c r="AW617" s="27"/>
      <c r="AX617" s="27"/>
    </row>
    <row r="618" spans="1:5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61"/>
      <c r="AU618" s="261"/>
      <c r="AV618" s="261"/>
      <c r="AW618" s="27"/>
      <c r="AX618" s="27"/>
    </row>
    <row r="619" spans="1:5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61"/>
      <c r="AU619" s="261"/>
      <c r="AV619" s="261"/>
      <c r="AW619" s="27"/>
      <c r="AX619" s="27"/>
    </row>
    <row r="620" spans="1:5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61"/>
      <c r="AU620" s="261"/>
      <c r="AV620" s="261"/>
      <c r="AW620" s="27"/>
      <c r="AX620" s="27"/>
    </row>
    <row r="621" spans="1:5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61"/>
      <c r="AU621" s="261"/>
      <c r="AV621" s="261"/>
      <c r="AW621" s="27"/>
      <c r="AX621" s="27"/>
    </row>
    <row r="622" spans="1:5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61"/>
      <c r="AU622" s="261"/>
      <c r="AV622" s="261"/>
      <c r="AW622" s="27"/>
      <c r="AX622" s="27"/>
    </row>
    <row r="623" spans="1:5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61"/>
      <c r="AU623" s="261"/>
      <c r="AV623" s="261"/>
      <c r="AW623" s="27"/>
      <c r="AX623" s="27"/>
    </row>
    <row r="624" spans="1:5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61"/>
      <c r="AU624" s="261"/>
      <c r="AV624" s="261"/>
      <c r="AW624" s="27"/>
      <c r="AX624" s="27"/>
    </row>
    <row r="625" spans="1:5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61"/>
      <c r="AU625" s="261"/>
      <c r="AV625" s="261"/>
      <c r="AW625" s="27"/>
      <c r="AX625" s="27"/>
    </row>
    <row r="626" spans="1:5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61"/>
      <c r="AU626" s="261"/>
      <c r="AV626" s="261"/>
      <c r="AW626" s="27"/>
      <c r="AX626" s="27"/>
    </row>
    <row r="627" spans="1:5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61"/>
      <c r="AU627" s="261"/>
      <c r="AV627" s="261"/>
      <c r="AW627" s="27"/>
      <c r="AX627" s="27"/>
    </row>
    <row r="628" spans="1:5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61"/>
      <c r="AU628" s="261"/>
      <c r="AV628" s="261"/>
      <c r="AW628" s="27"/>
      <c r="AX628" s="27"/>
    </row>
    <row r="629" spans="1:5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61"/>
      <c r="AU629" s="261"/>
      <c r="AV629" s="261"/>
      <c r="AW629" s="27"/>
      <c r="AX629" s="27"/>
    </row>
    <row r="630" spans="1:5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61"/>
      <c r="AU630" s="261"/>
      <c r="AV630" s="261"/>
      <c r="AW630" s="27"/>
      <c r="AX630" s="27"/>
    </row>
    <row r="631" spans="1:5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61"/>
      <c r="AU631" s="261"/>
      <c r="AV631" s="261"/>
      <c r="AW631" s="27"/>
      <c r="AX631" s="27"/>
    </row>
    <row r="632" spans="1:5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61"/>
      <c r="AU632" s="261"/>
      <c r="AV632" s="261"/>
      <c r="AW632" s="27"/>
      <c r="AX632" s="27"/>
    </row>
    <row r="633" spans="1:5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61"/>
      <c r="AU633" s="261"/>
      <c r="AV633" s="261"/>
      <c r="AW633" s="27"/>
      <c r="AX633" s="27"/>
    </row>
    <row r="634" spans="1:5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61"/>
      <c r="AU634" s="261"/>
      <c r="AV634" s="261"/>
      <c r="AW634" s="27"/>
      <c r="AX634" s="27"/>
    </row>
    <row r="635" spans="1:5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61"/>
      <c r="AU635" s="261"/>
      <c r="AV635" s="261"/>
      <c r="AW635" s="27"/>
      <c r="AX635" s="27"/>
    </row>
    <row r="636" spans="1:5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61"/>
      <c r="AU636" s="261"/>
      <c r="AV636" s="261"/>
      <c r="AW636" s="27"/>
      <c r="AX636" s="27"/>
    </row>
    <row r="637" spans="1:5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61"/>
      <c r="AU637" s="261"/>
      <c r="AV637" s="261"/>
      <c r="AW637" s="27"/>
      <c r="AX637" s="27"/>
    </row>
    <row r="638" spans="1:5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61"/>
      <c r="AU638" s="261"/>
      <c r="AV638" s="261"/>
      <c r="AW638" s="27"/>
      <c r="AX638" s="27"/>
    </row>
    <row r="639" spans="1:5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61"/>
      <c r="AU639" s="261"/>
      <c r="AV639" s="261"/>
      <c r="AW639" s="27"/>
      <c r="AX639" s="27"/>
    </row>
    <row r="640" spans="1:5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61"/>
      <c r="AU640" s="261"/>
      <c r="AV640" s="261"/>
      <c r="AW640" s="27"/>
      <c r="AX640" s="27"/>
    </row>
    <row r="641" spans="1:5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61"/>
      <c r="AU641" s="261"/>
      <c r="AV641" s="261"/>
      <c r="AW641" s="27"/>
      <c r="AX641" s="27"/>
    </row>
    <row r="642" spans="1:5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61"/>
      <c r="AU642" s="261"/>
      <c r="AV642" s="261"/>
      <c r="AW642" s="27"/>
      <c r="AX642" s="27"/>
    </row>
    <row r="643" spans="1:5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61"/>
      <c r="AU643" s="261"/>
      <c r="AV643" s="261"/>
      <c r="AW643" s="27"/>
      <c r="AX643" s="27"/>
    </row>
    <row r="644" spans="1:5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61"/>
      <c r="AU644" s="261"/>
      <c r="AV644" s="261"/>
      <c r="AW644" s="27"/>
      <c r="AX644" s="27"/>
    </row>
    <row r="645" spans="1:5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61"/>
      <c r="AU645" s="261"/>
      <c r="AV645" s="261"/>
      <c r="AW645" s="27"/>
      <c r="AX645" s="27"/>
    </row>
    <row r="646" spans="1:5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61"/>
      <c r="AU646" s="261"/>
      <c r="AV646" s="261"/>
      <c r="AW646" s="27"/>
      <c r="AX646" s="27"/>
    </row>
    <row r="647" spans="1:5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61"/>
      <c r="AU647" s="261"/>
      <c r="AV647" s="261"/>
      <c r="AW647" s="27"/>
      <c r="AX647" s="27"/>
    </row>
    <row r="648" spans="1:5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61"/>
      <c r="AU648" s="261"/>
      <c r="AV648" s="261"/>
      <c r="AW648" s="27"/>
      <c r="AX648" s="27"/>
    </row>
    <row r="649" spans="1:5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61"/>
      <c r="AU649" s="261"/>
      <c r="AV649" s="261"/>
      <c r="AW649" s="27"/>
      <c r="AX649" s="27"/>
    </row>
    <row r="650" spans="1:5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61"/>
      <c r="AU650" s="261"/>
      <c r="AV650" s="261"/>
      <c r="AW650" s="27"/>
      <c r="AX650" s="27"/>
    </row>
    <row r="651" spans="1:5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61"/>
      <c r="AU651" s="261"/>
      <c r="AV651" s="261"/>
      <c r="AW651" s="27"/>
      <c r="AX651" s="27"/>
    </row>
    <row r="652" spans="1:5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61"/>
      <c r="AU652" s="261"/>
      <c r="AV652" s="261"/>
      <c r="AW652" s="27"/>
      <c r="AX652" s="27"/>
    </row>
    <row r="653" spans="1:5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61"/>
      <c r="AU653" s="261"/>
      <c r="AV653" s="261"/>
      <c r="AW653" s="27"/>
      <c r="AX653" s="27"/>
    </row>
    <row r="654" spans="1:5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61"/>
      <c r="AU654" s="261"/>
      <c r="AV654" s="261"/>
      <c r="AW654" s="27"/>
      <c r="AX654" s="27"/>
    </row>
    <row r="655" spans="1:5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61"/>
      <c r="AU655" s="261"/>
      <c r="AV655" s="261"/>
      <c r="AW655" s="27"/>
      <c r="AX655" s="27"/>
    </row>
    <row r="656" spans="1:5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61"/>
      <c r="AU656" s="261"/>
      <c r="AV656" s="261"/>
      <c r="AW656" s="27"/>
      <c r="AX656" s="27"/>
    </row>
    <row r="657" spans="1:5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61"/>
      <c r="AU657" s="261"/>
      <c r="AV657" s="261"/>
      <c r="AW657" s="27"/>
      <c r="AX657" s="27"/>
    </row>
    <row r="658" spans="1:5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61"/>
      <c r="AU658" s="261"/>
      <c r="AV658" s="261"/>
      <c r="AW658" s="27"/>
      <c r="AX658" s="27"/>
    </row>
    <row r="659" spans="1:5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61"/>
      <c r="AU659" s="261"/>
      <c r="AV659" s="261"/>
      <c r="AW659" s="27"/>
      <c r="AX659" s="27"/>
    </row>
    <row r="660" spans="1:5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61"/>
      <c r="AU660" s="261"/>
      <c r="AV660" s="261"/>
      <c r="AW660" s="27"/>
      <c r="AX660" s="27"/>
    </row>
    <row r="661" spans="1:5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61"/>
      <c r="AU661" s="261"/>
      <c r="AV661" s="261"/>
      <c r="AW661" s="27"/>
      <c r="AX661" s="27"/>
    </row>
    <row r="662" spans="1:5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61"/>
      <c r="AU662" s="261"/>
      <c r="AV662" s="261"/>
      <c r="AW662" s="27"/>
      <c r="AX662" s="27"/>
    </row>
    <row r="663" spans="1:5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61"/>
      <c r="AU663" s="261"/>
      <c r="AV663" s="261"/>
      <c r="AW663" s="27"/>
      <c r="AX663" s="27"/>
    </row>
    <row r="664" spans="1:5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61"/>
      <c r="AU664" s="261"/>
      <c r="AV664" s="261"/>
      <c r="AW664" s="27"/>
      <c r="AX664" s="27"/>
    </row>
    <row r="665" spans="1:5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61"/>
      <c r="AU665" s="261"/>
      <c r="AV665" s="261"/>
      <c r="AW665" s="27"/>
      <c r="AX665" s="27"/>
    </row>
    <row r="666" spans="1:5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61"/>
      <c r="AU666" s="261"/>
      <c r="AV666" s="261"/>
      <c r="AW666" s="27"/>
      <c r="AX666" s="27"/>
    </row>
    <row r="667" spans="1:5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61"/>
      <c r="AU667" s="261"/>
      <c r="AV667" s="261"/>
      <c r="AW667" s="27"/>
      <c r="AX667" s="27"/>
    </row>
    <row r="668" spans="1:5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61"/>
      <c r="AU668" s="261"/>
      <c r="AV668" s="261"/>
      <c r="AW668" s="27"/>
      <c r="AX668" s="27"/>
    </row>
    <row r="669" spans="1:5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61"/>
      <c r="AU669" s="261"/>
      <c r="AV669" s="261"/>
      <c r="AW669" s="27"/>
      <c r="AX669" s="27"/>
    </row>
    <row r="670" spans="1:5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61"/>
      <c r="AU670" s="261"/>
      <c r="AV670" s="261"/>
      <c r="AW670" s="27"/>
      <c r="AX670" s="27"/>
    </row>
    <row r="671" spans="1:5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61"/>
      <c r="AU671" s="261"/>
      <c r="AV671" s="261"/>
      <c r="AW671" s="27"/>
      <c r="AX671" s="27"/>
    </row>
    <row r="672" spans="1:5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61"/>
      <c r="AU672" s="261"/>
      <c r="AV672" s="261"/>
      <c r="AW672" s="27"/>
      <c r="AX672" s="27"/>
    </row>
    <row r="673" spans="1:5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61"/>
      <c r="AU673" s="261"/>
      <c r="AV673" s="261"/>
      <c r="AW673" s="27"/>
      <c r="AX673" s="27"/>
    </row>
    <row r="674" spans="1:5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61"/>
      <c r="AU674" s="261"/>
      <c r="AV674" s="261"/>
      <c r="AW674" s="27"/>
      <c r="AX674" s="27"/>
    </row>
    <row r="675" spans="1:5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61"/>
      <c r="AU675" s="261"/>
      <c r="AV675" s="261"/>
      <c r="AW675" s="27"/>
      <c r="AX675" s="27"/>
    </row>
    <row r="676" spans="1:5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61"/>
      <c r="AU676" s="261"/>
      <c r="AV676" s="261"/>
      <c r="AW676" s="27"/>
      <c r="AX676" s="27"/>
    </row>
    <row r="677" spans="1:5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61"/>
      <c r="AU677" s="261"/>
      <c r="AV677" s="261"/>
      <c r="AW677" s="27"/>
      <c r="AX677" s="27"/>
    </row>
    <row r="678" spans="1:5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61"/>
      <c r="AU678" s="261"/>
      <c r="AV678" s="261"/>
      <c r="AW678" s="27"/>
      <c r="AX678" s="27"/>
    </row>
    <row r="679" spans="1:5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61"/>
      <c r="AU679" s="261"/>
      <c r="AV679" s="261"/>
      <c r="AW679" s="27"/>
      <c r="AX679" s="27"/>
    </row>
    <row r="680" spans="1:5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61"/>
      <c r="AU680" s="261"/>
      <c r="AV680" s="261"/>
      <c r="AW680" s="27"/>
      <c r="AX680" s="27"/>
    </row>
    <row r="681" spans="1:5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61"/>
      <c r="AU681" s="261"/>
      <c r="AV681" s="261"/>
      <c r="AW681" s="27"/>
      <c r="AX681" s="27"/>
    </row>
    <row r="682" spans="1:5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61"/>
      <c r="AU682" s="261"/>
      <c r="AV682" s="261"/>
      <c r="AW682" s="27"/>
      <c r="AX682" s="27"/>
    </row>
    <row r="683" spans="1:5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61"/>
      <c r="AU683" s="261"/>
      <c r="AV683" s="261"/>
      <c r="AW683" s="27"/>
      <c r="AX683" s="27"/>
    </row>
    <row r="684" spans="1:5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61"/>
      <c r="AU684" s="261"/>
      <c r="AV684" s="261"/>
      <c r="AW684" s="27"/>
      <c r="AX684" s="27"/>
    </row>
    <row r="685" spans="1:5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61"/>
      <c r="AU685" s="261"/>
      <c r="AV685" s="261"/>
      <c r="AW685" s="27"/>
      <c r="AX685" s="27"/>
    </row>
    <row r="686" spans="1:5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61"/>
      <c r="AU686" s="261"/>
      <c r="AV686" s="261"/>
      <c r="AW686" s="27"/>
      <c r="AX686" s="27"/>
    </row>
    <row r="687" spans="1:5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61"/>
      <c r="AU687" s="261"/>
      <c r="AV687" s="261"/>
      <c r="AW687" s="27"/>
      <c r="AX687" s="27"/>
    </row>
    <row r="688" spans="1:5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61"/>
      <c r="AU688" s="261"/>
      <c r="AV688" s="261"/>
      <c r="AW688" s="27"/>
      <c r="AX688" s="27"/>
    </row>
    <row r="689" spans="1:5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61"/>
      <c r="AU689" s="261"/>
      <c r="AV689" s="261"/>
      <c r="AW689" s="27"/>
      <c r="AX689" s="27"/>
    </row>
    <row r="690" spans="1:5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61"/>
      <c r="AU690" s="261"/>
      <c r="AV690" s="261"/>
      <c r="AW690" s="27"/>
      <c r="AX690" s="27"/>
    </row>
    <row r="691" spans="1:5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61"/>
      <c r="AU691" s="261"/>
      <c r="AV691" s="261"/>
      <c r="AW691" s="27"/>
      <c r="AX691" s="27"/>
    </row>
    <row r="692" spans="1:5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61"/>
      <c r="AU692" s="261"/>
      <c r="AV692" s="261"/>
      <c r="AW692" s="27"/>
      <c r="AX692" s="27"/>
    </row>
    <row r="693" spans="1:5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61"/>
      <c r="AU693" s="261"/>
      <c r="AV693" s="261"/>
      <c r="AW693" s="27"/>
      <c r="AX693" s="27"/>
    </row>
    <row r="694" spans="1:5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61"/>
      <c r="AU694" s="261"/>
      <c r="AV694" s="261"/>
      <c r="AW694" s="27"/>
      <c r="AX694" s="27"/>
    </row>
    <row r="695" spans="1:5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61"/>
      <c r="AU695" s="261"/>
      <c r="AV695" s="261"/>
      <c r="AW695" s="27"/>
      <c r="AX695" s="27"/>
    </row>
    <row r="696" spans="1:5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61"/>
      <c r="AU696" s="261"/>
      <c r="AV696" s="261"/>
      <c r="AW696" s="27"/>
      <c r="AX696" s="27"/>
    </row>
    <row r="697" spans="1:5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61"/>
      <c r="AU697" s="261"/>
      <c r="AV697" s="261"/>
      <c r="AW697" s="27"/>
      <c r="AX697" s="27"/>
    </row>
    <row r="698" spans="1:5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61"/>
      <c r="AU698" s="261"/>
      <c r="AV698" s="261"/>
      <c r="AW698" s="27"/>
      <c r="AX698" s="27"/>
    </row>
    <row r="699" spans="1:5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61"/>
      <c r="AU699" s="261"/>
      <c r="AV699" s="261"/>
      <c r="AW699" s="27"/>
      <c r="AX699" s="27"/>
    </row>
    <row r="700" spans="1:5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61"/>
      <c r="AU700" s="261"/>
      <c r="AV700" s="261"/>
      <c r="AW700" s="27"/>
      <c r="AX700" s="27"/>
    </row>
    <row r="701" spans="1:5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61"/>
      <c r="AU701" s="261"/>
      <c r="AV701" s="261"/>
      <c r="AW701" s="27"/>
      <c r="AX701" s="27"/>
    </row>
    <row r="702" spans="1:5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61"/>
      <c r="AU702" s="261"/>
      <c r="AV702" s="261"/>
      <c r="AW702" s="27"/>
      <c r="AX702" s="27"/>
    </row>
    <row r="703" spans="1:5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61"/>
      <c r="AU703" s="261"/>
      <c r="AV703" s="261"/>
      <c r="AW703" s="27"/>
      <c r="AX703" s="27"/>
    </row>
    <row r="704" spans="1:5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61"/>
      <c r="AU704" s="261"/>
      <c r="AV704" s="261"/>
      <c r="AW704" s="27"/>
      <c r="AX704" s="27"/>
    </row>
    <row r="705" spans="1:5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61"/>
      <c r="AU705" s="261"/>
      <c r="AV705" s="261"/>
      <c r="AW705" s="27"/>
      <c r="AX705" s="27"/>
    </row>
    <row r="706" spans="1:5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61"/>
      <c r="AU706" s="261"/>
      <c r="AV706" s="261"/>
      <c r="AW706" s="27"/>
      <c r="AX706" s="27"/>
    </row>
    <row r="707" spans="1:5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61"/>
      <c r="AU707" s="261"/>
      <c r="AV707" s="261"/>
      <c r="AW707" s="27"/>
      <c r="AX707" s="27"/>
    </row>
    <row r="708" spans="1:5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61"/>
      <c r="AU708" s="261"/>
      <c r="AV708" s="261"/>
      <c r="AW708" s="27"/>
      <c r="AX708" s="27"/>
    </row>
    <row r="709" spans="1:5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61"/>
      <c r="AU709" s="261"/>
      <c r="AV709" s="261"/>
      <c r="AW709" s="27"/>
      <c r="AX709" s="27"/>
    </row>
    <row r="710" spans="1:5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61"/>
      <c r="AU710" s="261"/>
      <c r="AV710" s="261"/>
      <c r="AW710" s="27"/>
      <c r="AX710" s="27"/>
    </row>
    <row r="711" spans="1:5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61"/>
      <c r="AU711" s="261"/>
      <c r="AV711" s="261"/>
      <c r="AW711" s="27"/>
      <c r="AX711" s="27"/>
    </row>
    <row r="712" spans="1:5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61"/>
      <c r="AU712" s="261"/>
      <c r="AV712" s="261"/>
      <c r="AW712" s="27"/>
      <c r="AX712" s="27"/>
    </row>
    <row r="713" spans="1:5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61"/>
      <c r="AU713" s="261"/>
      <c r="AV713" s="261"/>
      <c r="AW713" s="27"/>
      <c r="AX713" s="27"/>
    </row>
    <row r="714" spans="1:5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61"/>
      <c r="AU714" s="261"/>
      <c r="AV714" s="261"/>
      <c r="AW714" s="27"/>
      <c r="AX714" s="27"/>
    </row>
    <row r="715" spans="1:5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61"/>
      <c r="AU715" s="261"/>
      <c r="AV715" s="261"/>
      <c r="AW715" s="27"/>
      <c r="AX715" s="27"/>
    </row>
    <row r="716" spans="1:5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61"/>
      <c r="AU716" s="261"/>
      <c r="AV716" s="261"/>
      <c r="AW716" s="27"/>
      <c r="AX716" s="27"/>
    </row>
    <row r="717" spans="1:5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61"/>
      <c r="AU717" s="261"/>
      <c r="AV717" s="261"/>
      <c r="AW717" s="27"/>
      <c r="AX717" s="27"/>
    </row>
    <row r="718" spans="1:5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61"/>
      <c r="AU718" s="261"/>
      <c r="AV718" s="261"/>
      <c r="AW718" s="27"/>
      <c r="AX718" s="27"/>
    </row>
    <row r="719" spans="1:5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61"/>
      <c r="AU719" s="261"/>
      <c r="AV719" s="261"/>
      <c r="AW719" s="27"/>
      <c r="AX719" s="27"/>
    </row>
    <row r="720" spans="1:5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61"/>
      <c r="AU720" s="261"/>
      <c r="AV720" s="261"/>
      <c r="AW720" s="27"/>
      <c r="AX720" s="27"/>
    </row>
    <row r="721" spans="1:5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61"/>
      <c r="AU721" s="261"/>
      <c r="AV721" s="261"/>
      <c r="AW721" s="27"/>
      <c r="AX721" s="27"/>
    </row>
    <row r="722" spans="1:5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61"/>
      <c r="AU722" s="261"/>
      <c r="AV722" s="261"/>
      <c r="AW722" s="27"/>
      <c r="AX722" s="27"/>
    </row>
    <row r="723" spans="1:5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61"/>
      <c r="AU723" s="261"/>
      <c r="AV723" s="261"/>
      <c r="AW723" s="27"/>
      <c r="AX723" s="27"/>
    </row>
    <row r="724" spans="1:5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61"/>
      <c r="AU724" s="261"/>
      <c r="AV724" s="261"/>
      <c r="AW724" s="27"/>
      <c r="AX724" s="27"/>
    </row>
    <row r="725" spans="1:5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61"/>
      <c r="AU725" s="261"/>
      <c r="AV725" s="261"/>
      <c r="AW725" s="27"/>
      <c r="AX725" s="27"/>
    </row>
    <row r="726" spans="1:5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61"/>
      <c r="AU726" s="261"/>
      <c r="AV726" s="261"/>
      <c r="AW726" s="27"/>
      <c r="AX726" s="27"/>
    </row>
    <row r="727" spans="1:5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61"/>
      <c r="AU727" s="261"/>
      <c r="AV727" s="261"/>
      <c r="AW727" s="27"/>
      <c r="AX727" s="27"/>
    </row>
    <row r="728" spans="1:5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61"/>
      <c r="AU728" s="261"/>
      <c r="AV728" s="261"/>
      <c r="AW728" s="27"/>
      <c r="AX728" s="27"/>
    </row>
    <row r="729" spans="1:5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61"/>
      <c r="AU729" s="261"/>
      <c r="AV729" s="261"/>
      <c r="AW729" s="27"/>
      <c r="AX729" s="27"/>
    </row>
    <row r="730" spans="1:5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61"/>
      <c r="AU730" s="261"/>
      <c r="AV730" s="261"/>
      <c r="AW730" s="27"/>
      <c r="AX730" s="27"/>
    </row>
    <row r="731" spans="1:5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61"/>
      <c r="AU731" s="261"/>
      <c r="AV731" s="261"/>
      <c r="AW731" s="27"/>
      <c r="AX731" s="27"/>
    </row>
    <row r="732" spans="1:5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61"/>
      <c r="AU732" s="261"/>
      <c r="AV732" s="261"/>
      <c r="AW732" s="27"/>
      <c r="AX732" s="27"/>
    </row>
    <row r="733" spans="1:5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61"/>
      <c r="AU733" s="261"/>
      <c r="AV733" s="261"/>
      <c r="AW733" s="27"/>
      <c r="AX733" s="27"/>
    </row>
    <row r="734" spans="1:5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61"/>
      <c r="AU734" s="261"/>
      <c r="AV734" s="261"/>
      <c r="AW734" s="27"/>
      <c r="AX734" s="27"/>
    </row>
    <row r="735" spans="1:5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61"/>
      <c r="AU735" s="261"/>
      <c r="AV735" s="261"/>
      <c r="AW735" s="27"/>
      <c r="AX735" s="27"/>
    </row>
    <row r="736" spans="1:5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61"/>
      <c r="AU736" s="261"/>
      <c r="AV736" s="261"/>
      <c r="AW736" s="27"/>
      <c r="AX736" s="27"/>
    </row>
    <row r="737" spans="1:5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61"/>
      <c r="AU737" s="261"/>
      <c r="AV737" s="261"/>
      <c r="AW737" s="27"/>
      <c r="AX737" s="27"/>
    </row>
    <row r="738" spans="1:5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61"/>
      <c r="AU738" s="261"/>
      <c r="AV738" s="261"/>
      <c r="AW738" s="27"/>
      <c r="AX738" s="27"/>
    </row>
    <row r="739" spans="1:5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61"/>
      <c r="AU739" s="261"/>
      <c r="AV739" s="261"/>
      <c r="AW739" s="27"/>
      <c r="AX739" s="27"/>
    </row>
    <row r="740" spans="1:5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61"/>
      <c r="AU740" s="261"/>
      <c r="AV740" s="261"/>
      <c r="AW740" s="27"/>
      <c r="AX740" s="27"/>
    </row>
    <row r="741" spans="1:5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61"/>
      <c r="AU741" s="261"/>
      <c r="AV741" s="261"/>
      <c r="AW741" s="27"/>
      <c r="AX741" s="27"/>
    </row>
    <row r="742" spans="1:5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61"/>
      <c r="AU742" s="261"/>
      <c r="AV742" s="261"/>
      <c r="AW742" s="27"/>
      <c r="AX742" s="27"/>
    </row>
    <row r="743" spans="1:5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61"/>
      <c r="AU743" s="261"/>
      <c r="AV743" s="261"/>
      <c r="AW743" s="27"/>
      <c r="AX743" s="27"/>
    </row>
    <row r="744" spans="1:5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61"/>
      <c r="AU744" s="261"/>
      <c r="AV744" s="261"/>
      <c r="AW744" s="27"/>
      <c r="AX744" s="27"/>
    </row>
    <row r="745" spans="1:5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61"/>
      <c r="AU745" s="261"/>
      <c r="AV745" s="261"/>
      <c r="AW745" s="27"/>
      <c r="AX745" s="27"/>
    </row>
    <row r="746" spans="1:5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61"/>
      <c r="AU746" s="261"/>
      <c r="AV746" s="261"/>
      <c r="AW746" s="27"/>
      <c r="AX746" s="27"/>
    </row>
    <row r="747" spans="1:5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61"/>
      <c r="AU747" s="261"/>
      <c r="AV747" s="261"/>
      <c r="AW747" s="27"/>
      <c r="AX747" s="27"/>
    </row>
    <row r="748" spans="1:5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61"/>
      <c r="AU748" s="261"/>
      <c r="AV748" s="261"/>
      <c r="AW748" s="27"/>
      <c r="AX748" s="27"/>
    </row>
    <row r="749" spans="1:5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61"/>
      <c r="AU749" s="261"/>
      <c r="AV749" s="261"/>
      <c r="AW749" s="27"/>
      <c r="AX749" s="27"/>
    </row>
    <row r="750" spans="1:5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61"/>
      <c r="AU750" s="261"/>
      <c r="AV750" s="261"/>
      <c r="AW750" s="27"/>
      <c r="AX750" s="27"/>
    </row>
    <row r="751" spans="1:5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61"/>
      <c r="AU751" s="261"/>
      <c r="AV751" s="261"/>
      <c r="AW751" s="27"/>
      <c r="AX751" s="27"/>
    </row>
    <row r="752" spans="1:5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61"/>
      <c r="AU752" s="261"/>
      <c r="AV752" s="261"/>
      <c r="AW752" s="27"/>
      <c r="AX752" s="27"/>
    </row>
    <row r="753" spans="1:5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61"/>
      <c r="AU753" s="261"/>
      <c r="AV753" s="261"/>
      <c r="AW753" s="27"/>
      <c r="AX753" s="27"/>
    </row>
    <row r="754" spans="1:5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61"/>
      <c r="AU754" s="261"/>
      <c r="AV754" s="261"/>
      <c r="AW754" s="27"/>
      <c r="AX754" s="27"/>
    </row>
    <row r="755" spans="1:5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61"/>
      <c r="AU755" s="261"/>
      <c r="AV755" s="261"/>
      <c r="AW755" s="27"/>
      <c r="AX755" s="27"/>
    </row>
    <row r="756" spans="1:5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61"/>
      <c r="AU756" s="261"/>
      <c r="AV756" s="261"/>
      <c r="AW756" s="27"/>
      <c r="AX756" s="27"/>
    </row>
    <row r="757" spans="1:5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61"/>
      <c r="AU757" s="261"/>
      <c r="AV757" s="261"/>
      <c r="AW757" s="27"/>
      <c r="AX757" s="27"/>
    </row>
    <row r="758" spans="1:5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61"/>
      <c r="AU758" s="261"/>
      <c r="AV758" s="261"/>
      <c r="AW758" s="27"/>
      <c r="AX758" s="27"/>
    </row>
    <row r="759" spans="1:5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61"/>
      <c r="AU759" s="261"/>
      <c r="AV759" s="261"/>
      <c r="AW759" s="27"/>
      <c r="AX759" s="27"/>
    </row>
    <row r="760" spans="1:5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61"/>
      <c r="AU760" s="261"/>
      <c r="AV760" s="261"/>
      <c r="AW760" s="27"/>
      <c r="AX760" s="27"/>
    </row>
    <row r="761" spans="1:5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61"/>
      <c r="AU761" s="261"/>
      <c r="AV761" s="261"/>
      <c r="AW761" s="27"/>
      <c r="AX761" s="27"/>
    </row>
    <row r="762" spans="1:5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61"/>
      <c r="AU762" s="261"/>
      <c r="AV762" s="261"/>
      <c r="AW762" s="27"/>
      <c r="AX762" s="27"/>
    </row>
    <row r="763" spans="1:5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61"/>
      <c r="AU763" s="261"/>
      <c r="AV763" s="261"/>
      <c r="AW763" s="27"/>
      <c r="AX763" s="27"/>
    </row>
    <row r="764" spans="1:5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61"/>
      <c r="AU764" s="261"/>
      <c r="AV764" s="261"/>
      <c r="AW764" s="27"/>
      <c r="AX764" s="27"/>
    </row>
    <row r="765" spans="1:5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61"/>
      <c r="AU765" s="261"/>
      <c r="AV765" s="261"/>
      <c r="AW765" s="27"/>
      <c r="AX765" s="27"/>
    </row>
    <row r="766" spans="1:5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61"/>
      <c r="AU766" s="261"/>
      <c r="AV766" s="261"/>
      <c r="AW766" s="27"/>
      <c r="AX766" s="27"/>
    </row>
    <row r="767" spans="1:5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61"/>
      <c r="AU767" s="261"/>
      <c r="AV767" s="261"/>
      <c r="AW767" s="27"/>
      <c r="AX767" s="27"/>
    </row>
    <row r="768" spans="1:5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61"/>
      <c r="AU768" s="261"/>
      <c r="AV768" s="261"/>
      <c r="AW768" s="27"/>
      <c r="AX768" s="27"/>
    </row>
    <row r="769" spans="1:5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61"/>
      <c r="AU769" s="261"/>
      <c r="AV769" s="261"/>
      <c r="AW769" s="27"/>
      <c r="AX769" s="27"/>
    </row>
    <row r="770" spans="1:5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61"/>
      <c r="AU770" s="261"/>
      <c r="AV770" s="261"/>
      <c r="AW770" s="27"/>
      <c r="AX770" s="27"/>
    </row>
    <row r="771" spans="1:5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61"/>
      <c r="AU771" s="261"/>
      <c r="AV771" s="261"/>
      <c r="AW771" s="27"/>
      <c r="AX771" s="27"/>
    </row>
    <row r="772" spans="1:5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61"/>
      <c r="AU772" s="261"/>
      <c r="AV772" s="261"/>
      <c r="AW772" s="27"/>
      <c r="AX772" s="27"/>
    </row>
    <row r="773" spans="1:5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61"/>
      <c r="AU773" s="261"/>
      <c r="AV773" s="261"/>
      <c r="AW773" s="27"/>
      <c r="AX773" s="27"/>
    </row>
    <row r="774" spans="1:5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61"/>
      <c r="AU774" s="261"/>
      <c r="AV774" s="261"/>
      <c r="AW774" s="27"/>
      <c r="AX774" s="27"/>
    </row>
    <row r="775" spans="1:5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61"/>
      <c r="AU775" s="261"/>
      <c r="AV775" s="261"/>
      <c r="AW775" s="27"/>
      <c r="AX775" s="27"/>
    </row>
    <row r="776" spans="1:5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61"/>
      <c r="AU776" s="261"/>
      <c r="AV776" s="261"/>
      <c r="AW776" s="27"/>
      <c r="AX776" s="27"/>
    </row>
    <row r="777" spans="1:5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61"/>
      <c r="AU777" s="261"/>
      <c r="AV777" s="261"/>
      <c r="AW777" s="27"/>
      <c r="AX777" s="27"/>
    </row>
    <row r="778" spans="1:5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61"/>
      <c r="AU778" s="261"/>
      <c r="AV778" s="261"/>
      <c r="AW778" s="27"/>
      <c r="AX778" s="27"/>
    </row>
    <row r="779" spans="1:5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61"/>
      <c r="AU779" s="261"/>
      <c r="AV779" s="261"/>
      <c r="AW779" s="27"/>
      <c r="AX779" s="27"/>
    </row>
    <row r="780" spans="1:5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61"/>
      <c r="AU780" s="261"/>
      <c r="AV780" s="261"/>
      <c r="AW780" s="27"/>
      <c r="AX780" s="27"/>
    </row>
    <row r="781" spans="1:5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61"/>
      <c r="AU781" s="261"/>
      <c r="AV781" s="261"/>
      <c r="AW781" s="27"/>
      <c r="AX781" s="27"/>
    </row>
    <row r="782" spans="1:5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61"/>
      <c r="AU782" s="261"/>
      <c r="AV782" s="261"/>
      <c r="AW782" s="27"/>
      <c r="AX782" s="27"/>
    </row>
    <row r="783" spans="1:5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61"/>
      <c r="AU783" s="261"/>
      <c r="AV783" s="261"/>
      <c r="AW783" s="27"/>
      <c r="AX783" s="27"/>
    </row>
    <row r="784" spans="1:5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61"/>
      <c r="AU784" s="261"/>
      <c r="AV784" s="261"/>
      <c r="AW784" s="27"/>
      <c r="AX784" s="27"/>
    </row>
    <row r="785" spans="1:5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61"/>
      <c r="AU785" s="261"/>
      <c r="AV785" s="261"/>
      <c r="AW785" s="27"/>
      <c r="AX785" s="27"/>
    </row>
    <row r="786" spans="1:5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61"/>
      <c r="AU786" s="261"/>
      <c r="AV786" s="261"/>
      <c r="AW786" s="27"/>
      <c r="AX786" s="27"/>
    </row>
    <row r="787" spans="1:5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61"/>
      <c r="AU787" s="261"/>
      <c r="AV787" s="261"/>
      <c r="AW787" s="27"/>
      <c r="AX787" s="27"/>
    </row>
    <row r="788" spans="1:5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61"/>
      <c r="AU788" s="261"/>
      <c r="AV788" s="261"/>
      <c r="AW788" s="27"/>
      <c r="AX788" s="27"/>
    </row>
    <row r="789" spans="1:5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61"/>
      <c r="AU789" s="261"/>
      <c r="AV789" s="261"/>
      <c r="AW789" s="27"/>
      <c r="AX789" s="27"/>
    </row>
    <row r="790" spans="1:5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61"/>
      <c r="AU790" s="261"/>
      <c r="AV790" s="261"/>
      <c r="AW790" s="27"/>
      <c r="AX790" s="27"/>
    </row>
    <row r="791" spans="1:5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61"/>
      <c r="AU791" s="261"/>
      <c r="AV791" s="261"/>
      <c r="AW791" s="27"/>
      <c r="AX791" s="27"/>
    </row>
    <row r="792" spans="1:5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61"/>
      <c r="AU792" s="261"/>
      <c r="AV792" s="261"/>
      <c r="AW792" s="27"/>
      <c r="AX792" s="27"/>
    </row>
    <row r="793" spans="1:5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61"/>
      <c r="AU793" s="261"/>
      <c r="AV793" s="261"/>
      <c r="AW793" s="27"/>
      <c r="AX793" s="27"/>
    </row>
    <row r="794" spans="1:5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61"/>
      <c r="AU794" s="261"/>
      <c r="AV794" s="261"/>
      <c r="AW794" s="27"/>
      <c r="AX794" s="27"/>
    </row>
    <row r="795" spans="1:5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61"/>
      <c r="AU795" s="261"/>
      <c r="AV795" s="261"/>
      <c r="AW795" s="27"/>
      <c r="AX795" s="27"/>
    </row>
    <row r="796" spans="1:5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61"/>
      <c r="AU796" s="261"/>
      <c r="AV796" s="261"/>
      <c r="AW796" s="27"/>
      <c r="AX796" s="27"/>
    </row>
    <row r="797" spans="1:5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61"/>
      <c r="AU797" s="261"/>
      <c r="AV797" s="261"/>
      <c r="AW797" s="27"/>
      <c r="AX797" s="27"/>
    </row>
    <row r="798" spans="1:5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61"/>
      <c r="AU798" s="261"/>
      <c r="AV798" s="261"/>
      <c r="AW798" s="27"/>
      <c r="AX798" s="27"/>
    </row>
    <row r="799" spans="1:5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61"/>
      <c r="AU799" s="261"/>
      <c r="AV799" s="261"/>
      <c r="AW799" s="27"/>
      <c r="AX799" s="27"/>
    </row>
    <row r="800" spans="1:5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61"/>
      <c r="AU800" s="261"/>
      <c r="AV800" s="261"/>
      <c r="AW800" s="27"/>
      <c r="AX800" s="27"/>
    </row>
    <row r="801" spans="1:5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61"/>
      <c r="AU801" s="261"/>
      <c r="AV801" s="261"/>
      <c r="AW801" s="27"/>
      <c r="AX801" s="27"/>
    </row>
    <row r="802" spans="1:5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61"/>
      <c r="AU802" s="261"/>
      <c r="AV802" s="261"/>
      <c r="AW802" s="27"/>
      <c r="AX802" s="27"/>
    </row>
    <row r="803" spans="1:5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61"/>
      <c r="AU803" s="261"/>
      <c r="AV803" s="261"/>
      <c r="AW803" s="27"/>
      <c r="AX803" s="27"/>
    </row>
    <row r="804" spans="1:5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61"/>
      <c r="AU804" s="261"/>
      <c r="AV804" s="261"/>
      <c r="AW804" s="27"/>
      <c r="AX804" s="27"/>
    </row>
    <row r="805" spans="1:5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61"/>
      <c r="AU805" s="261"/>
      <c r="AV805" s="261"/>
      <c r="AW805" s="27"/>
      <c r="AX805" s="27"/>
    </row>
    <row r="806" spans="1:5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61"/>
      <c r="AU806" s="261"/>
      <c r="AV806" s="261"/>
      <c r="AW806" s="27"/>
      <c r="AX806" s="27"/>
    </row>
    <row r="807" spans="1:5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61"/>
      <c r="AU807" s="261"/>
      <c r="AV807" s="261"/>
      <c r="AW807" s="27"/>
      <c r="AX807" s="27"/>
    </row>
    <row r="808" spans="1:5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61"/>
      <c r="AU808" s="261"/>
      <c r="AV808" s="261"/>
      <c r="AW808" s="27"/>
      <c r="AX808" s="27"/>
    </row>
    <row r="809" spans="1:5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61"/>
      <c r="AU809" s="261"/>
      <c r="AV809" s="261"/>
      <c r="AW809" s="27"/>
      <c r="AX809" s="27"/>
    </row>
    <row r="810" spans="1:5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61"/>
      <c r="AU810" s="261"/>
      <c r="AV810" s="261"/>
      <c r="AW810" s="27"/>
      <c r="AX810" s="27"/>
    </row>
    <row r="811" spans="1:5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61"/>
      <c r="AU811" s="261"/>
      <c r="AV811" s="261"/>
      <c r="AW811" s="27"/>
      <c r="AX811" s="27"/>
    </row>
    <row r="812" spans="1:5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61"/>
      <c r="AU812" s="261"/>
      <c r="AV812" s="261"/>
      <c r="AW812" s="27"/>
      <c r="AX812" s="27"/>
    </row>
    <row r="813" spans="1:5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61"/>
      <c r="AU813" s="261"/>
      <c r="AV813" s="261"/>
      <c r="AW813" s="27"/>
      <c r="AX813" s="27"/>
    </row>
    <row r="814" spans="1:5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61"/>
      <c r="AU814" s="261"/>
      <c r="AV814" s="261"/>
      <c r="AW814" s="27"/>
      <c r="AX814" s="27"/>
    </row>
    <row r="815" spans="1:5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61"/>
      <c r="AU815" s="261"/>
      <c r="AV815" s="261"/>
      <c r="AW815" s="27"/>
      <c r="AX815" s="27"/>
    </row>
    <row r="816" spans="1:5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61"/>
      <c r="AU816" s="261"/>
      <c r="AV816" s="261"/>
      <c r="AW816" s="27"/>
      <c r="AX816" s="27"/>
    </row>
    <row r="817" spans="1:5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61"/>
      <c r="AU817" s="261"/>
      <c r="AV817" s="261"/>
      <c r="AW817" s="27"/>
      <c r="AX817" s="27"/>
    </row>
    <row r="818" spans="1:5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61"/>
      <c r="AU818" s="261"/>
      <c r="AV818" s="261"/>
      <c r="AW818" s="27"/>
      <c r="AX818" s="27"/>
    </row>
    <row r="819" spans="1:5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61"/>
      <c r="AU819" s="261"/>
      <c r="AV819" s="261"/>
      <c r="AW819" s="27"/>
      <c r="AX819" s="27"/>
    </row>
    <row r="820" spans="1:5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61"/>
      <c r="AU820" s="261"/>
      <c r="AV820" s="261"/>
      <c r="AW820" s="27"/>
      <c r="AX820" s="27"/>
    </row>
    <row r="821" spans="1:5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61"/>
      <c r="AU821" s="261"/>
      <c r="AV821" s="261"/>
      <c r="AW821" s="27"/>
      <c r="AX821" s="27"/>
    </row>
    <row r="822" spans="1:5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61"/>
      <c r="AU822" s="261"/>
      <c r="AV822" s="261"/>
      <c r="AW822" s="27"/>
      <c r="AX822" s="27"/>
    </row>
    <row r="823" spans="1:5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61"/>
      <c r="AU823" s="261"/>
      <c r="AV823" s="261"/>
      <c r="AW823" s="27"/>
      <c r="AX823" s="27"/>
    </row>
    <row r="824" spans="1:5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61"/>
      <c r="AU824" s="261"/>
      <c r="AV824" s="261"/>
      <c r="AW824" s="27"/>
      <c r="AX824" s="27"/>
    </row>
    <row r="825" spans="1:5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61"/>
      <c r="AU825" s="261"/>
      <c r="AV825" s="261"/>
      <c r="AW825" s="27"/>
      <c r="AX825" s="27"/>
    </row>
    <row r="826" spans="1:5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61"/>
      <c r="AU826" s="261"/>
      <c r="AV826" s="261"/>
      <c r="AW826" s="27"/>
      <c r="AX826" s="27"/>
    </row>
    <row r="827" spans="1:5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61"/>
      <c r="AU827" s="261"/>
      <c r="AV827" s="261"/>
      <c r="AW827" s="27"/>
      <c r="AX827" s="27"/>
    </row>
    <row r="828" spans="1:5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61"/>
      <c r="AU828" s="261"/>
      <c r="AV828" s="261"/>
      <c r="AW828" s="27"/>
      <c r="AX828" s="27"/>
    </row>
    <row r="829" spans="1:5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61"/>
      <c r="AU829" s="261"/>
      <c r="AV829" s="261"/>
      <c r="AW829" s="27"/>
      <c r="AX829" s="27"/>
    </row>
    <row r="830" spans="1:5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61"/>
      <c r="AU830" s="261"/>
      <c r="AV830" s="261"/>
      <c r="AW830" s="27"/>
      <c r="AX830" s="27"/>
    </row>
    <row r="831" spans="1:5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61"/>
      <c r="AU831" s="261"/>
      <c r="AV831" s="261"/>
      <c r="AW831" s="27"/>
      <c r="AX831" s="27"/>
    </row>
    <row r="832" spans="1:5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61"/>
      <c r="AU832" s="261"/>
      <c r="AV832" s="261"/>
      <c r="AW832" s="27"/>
      <c r="AX832" s="27"/>
    </row>
    <row r="833" spans="1:5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61"/>
      <c r="AU833" s="261"/>
      <c r="AV833" s="261"/>
      <c r="AW833" s="27"/>
      <c r="AX833" s="27"/>
    </row>
    <row r="834" spans="1:5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61"/>
      <c r="AU834" s="261"/>
      <c r="AV834" s="261"/>
      <c r="AW834" s="27"/>
      <c r="AX834" s="27"/>
    </row>
    <row r="835" spans="1:5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61"/>
      <c r="AU835" s="261"/>
      <c r="AV835" s="261"/>
      <c r="AW835" s="27"/>
      <c r="AX835" s="27"/>
    </row>
    <row r="836" spans="1:5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61"/>
      <c r="AU836" s="261"/>
      <c r="AV836" s="261"/>
      <c r="AW836" s="27"/>
      <c r="AX836" s="27"/>
    </row>
    <row r="837" spans="1:5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61"/>
      <c r="AU837" s="261"/>
      <c r="AV837" s="261"/>
      <c r="AW837" s="27"/>
      <c r="AX837" s="27"/>
    </row>
    <row r="838" spans="1:5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61"/>
      <c r="AU838" s="261"/>
      <c r="AV838" s="261"/>
      <c r="AW838" s="27"/>
      <c r="AX838" s="27"/>
    </row>
    <row r="839" spans="1:5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61"/>
      <c r="AU839" s="261"/>
      <c r="AV839" s="261"/>
      <c r="AW839" s="27"/>
      <c r="AX839" s="27"/>
    </row>
    <row r="840" spans="1:5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61"/>
      <c r="AU840" s="261"/>
      <c r="AV840" s="261"/>
      <c r="AW840" s="27"/>
      <c r="AX840" s="27"/>
    </row>
    <row r="841" spans="1:5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61"/>
      <c r="AU841" s="261"/>
      <c r="AV841" s="261"/>
      <c r="AW841" s="27"/>
      <c r="AX841" s="27"/>
    </row>
    <row r="842" spans="1:5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61"/>
      <c r="AU842" s="261"/>
      <c r="AV842" s="261"/>
      <c r="AW842" s="27"/>
      <c r="AX842" s="27"/>
    </row>
    <row r="843" spans="1:5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61"/>
      <c r="AU843" s="261"/>
      <c r="AV843" s="261"/>
      <c r="AW843" s="27"/>
      <c r="AX843" s="27"/>
    </row>
    <row r="844" spans="1:5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61"/>
      <c r="AU844" s="261"/>
      <c r="AV844" s="261"/>
      <c r="AW844" s="27"/>
      <c r="AX844" s="27"/>
    </row>
    <row r="845" spans="1:5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61"/>
      <c r="AU845" s="261"/>
      <c r="AV845" s="261"/>
      <c r="AW845" s="27"/>
      <c r="AX845" s="27"/>
    </row>
    <row r="846" spans="1:5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61"/>
      <c r="AU846" s="261"/>
      <c r="AV846" s="261"/>
      <c r="AW846" s="27"/>
      <c r="AX846" s="27"/>
    </row>
    <row r="847" spans="1:5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61"/>
      <c r="AU847" s="261"/>
      <c r="AV847" s="261"/>
      <c r="AW847" s="27"/>
      <c r="AX847" s="27"/>
    </row>
    <row r="848" spans="1:5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61"/>
      <c r="AU848" s="261"/>
      <c r="AV848" s="261"/>
      <c r="AW848" s="27"/>
      <c r="AX848" s="27"/>
    </row>
    <row r="849" spans="1:5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61"/>
      <c r="AU849" s="261"/>
      <c r="AV849" s="261"/>
      <c r="AW849" s="27"/>
      <c r="AX849" s="27"/>
    </row>
    <row r="850" spans="1:5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61"/>
      <c r="AU850" s="261"/>
      <c r="AV850" s="261"/>
      <c r="AW850" s="27"/>
      <c r="AX850" s="27"/>
    </row>
    <row r="851" spans="1:5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61"/>
      <c r="AU851" s="261"/>
      <c r="AV851" s="261"/>
      <c r="AW851" s="27"/>
      <c r="AX851" s="27"/>
    </row>
    <row r="852" spans="1:5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61"/>
      <c r="AU852" s="261"/>
      <c r="AV852" s="261"/>
      <c r="AW852" s="27"/>
      <c r="AX852" s="27"/>
    </row>
    <row r="853" spans="1:5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61"/>
      <c r="AU853" s="261"/>
      <c r="AV853" s="261"/>
      <c r="AW853" s="27"/>
      <c r="AX853" s="27"/>
    </row>
    <row r="854" spans="1:5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61"/>
      <c r="AU854" s="261"/>
      <c r="AV854" s="261"/>
      <c r="AW854" s="27"/>
      <c r="AX854" s="27"/>
    </row>
    <row r="855" spans="1:5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61"/>
      <c r="AU855" s="261"/>
      <c r="AV855" s="261"/>
      <c r="AW855" s="27"/>
      <c r="AX855" s="27"/>
    </row>
    <row r="856" spans="1:5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61"/>
      <c r="AU856" s="261"/>
      <c r="AV856" s="261"/>
      <c r="AW856" s="27"/>
      <c r="AX856" s="27"/>
    </row>
    <row r="857" spans="1:5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61"/>
      <c r="AU857" s="261"/>
      <c r="AV857" s="261"/>
      <c r="AW857" s="27"/>
      <c r="AX857" s="27"/>
    </row>
    <row r="858" spans="1:5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61"/>
      <c r="AU858" s="261"/>
      <c r="AV858" s="261"/>
      <c r="AW858" s="27"/>
      <c r="AX858" s="27"/>
    </row>
    <row r="859" spans="1:5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61"/>
      <c r="AU859" s="261"/>
      <c r="AV859" s="261"/>
      <c r="AW859" s="27"/>
      <c r="AX859" s="27"/>
    </row>
    <row r="860" spans="1:5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61"/>
      <c r="AU860" s="261"/>
      <c r="AV860" s="261"/>
      <c r="AW860" s="27"/>
      <c r="AX860" s="27"/>
    </row>
    <row r="861" spans="1:5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61"/>
      <c r="AU861" s="261"/>
      <c r="AV861" s="261"/>
      <c r="AW861" s="27"/>
      <c r="AX861" s="27"/>
    </row>
    <row r="862" spans="1:5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61"/>
      <c r="AU862" s="261"/>
      <c r="AV862" s="261"/>
      <c r="AW862" s="27"/>
      <c r="AX862" s="27"/>
    </row>
    <row r="863" spans="1:5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61"/>
      <c r="AU863" s="261"/>
      <c r="AV863" s="261"/>
      <c r="AW863" s="27"/>
      <c r="AX863" s="27"/>
    </row>
    <row r="864" spans="1:5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61"/>
      <c r="AU864" s="261"/>
      <c r="AV864" s="261"/>
      <c r="AW864" s="27"/>
      <c r="AX864" s="27"/>
    </row>
    <row r="865" spans="1:5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61"/>
      <c r="AU865" s="261"/>
      <c r="AV865" s="261"/>
      <c r="AW865" s="27"/>
      <c r="AX865" s="27"/>
    </row>
    <row r="866" spans="1:5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61"/>
      <c r="AU866" s="261"/>
      <c r="AV866" s="261"/>
      <c r="AW866" s="27"/>
      <c r="AX866" s="27"/>
    </row>
    <row r="867" spans="1:5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61"/>
      <c r="AU867" s="261"/>
      <c r="AV867" s="261"/>
      <c r="AW867" s="27"/>
      <c r="AX867" s="27"/>
    </row>
    <row r="868" spans="1:5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61"/>
      <c r="AU868" s="261"/>
      <c r="AV868" s="261"/>
      <c r="AW868" s="27"/>
      <c r="AX868" s="27"/>
    </row>
    <row r="869" spans="1:5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61"/>
      <c r="AU869" s="261"/>
      <c r="AV869" s="261"/>
      <c r="AW869" s="27"/>
      <c r="AX869" s="27"/>
    </row>
    <row r="870" spans="1:5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61"/>
      <c r="AU870" s="261"/>
      <c r="AV870" s="261"/>
      <c r="AW870" s="27"/>
      <c r="AX870" s="27"/>
    </row>
    <row r="871" spans="1:5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61"/>
      <c r="AU871" s="261"/>
      <c r="AV871" s="261"/>
      <c r="AW871" s="27"/>
      <c r="AX871" s="27"/>
    </row>
    <row r="872" spans="1:5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61"/>
      <c r="AU872" s="261"/>
      <c r="AV872" s="261"/>
      <c r="AW872" s="27"/>
      <c r="AX872" s="27"/>
    </row>
    <row r="873" spans="1:5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61"/>
      <c r="AU873" s="261"/>
      <c r="AV873" s="261"/>
      <c r="AW873" s="27"/>
      <c r="AX873" s="27"/>
    </row>
    <row r="874" spans="1:5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61"/>
      <c r="AU874" s="261"/>
      <c r="AV874" s="261"/>
      <c r="AW874" s="27"/>
      <c r="AX874" s="27"/>
    </row>
    <row r="875" spans="1:5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61"/>
      <c r="AU875" s="261"/>
      <c r="AV875" s="261"/>
      <c r="AW875" s="27"/>
      <c r="AX875" s="27"/>
    </row>
    <row r="876" spans="1:5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61"/>
      <c r="AU876" s="261"/>
      <c r="AV876" s="261"/>
      <c r="AW876" s="27"/>
      <c r="AX876" s="27"/>
    </row>
    <row r="877" spans="1:5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61"/>
      <c r="AU877" s="261"/>
      <c r="AV877" s="261"/>
      <c r="AW877" s="27"/>
      <c r="AX877" s="27"/>
    </row>
    <row r="878" spans="1:5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61"/>
      <c r="AU878" s="261"/>
      <c r="AV878" s="261"/>
      <c r="AW878" s="27"/>
      <c r="AX878" s="27"/>
    </row>
    <row r="879" spans="1:5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61"/>
      <c r="AU879" s="261"/>
      <c r="AV879" s="261"/>
      <c r="AW879" s="27"/>
      <c r="AX879" s="27"/>
    </row>
    <row r="880" spans="1:5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61"/>
      <c r="AU880" s="261"/>
      <c r="AV880" s="261"/>
      <c r="AW880" s="27"/>
      <c r="AX880" s="27"/>
    </row>
    <row r="881" spans="1:5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61"/>
      <c r="AU881" s="261"/>
      <c r="AV881" s="261"/>
      <c r="AW881" s="27"/>
      <c r="AX881" s="27"/>
    </row>
    <row r="882" spans="1:5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61"/>
      <c r="AU882" s="261"/>
      <c r="AV882" s="261"/>
      <c r="AW882" s="27"/>
      <c r="AX882" s="27"/>
    </row>
    <row r="883" spans="1:5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61"/>
      <c r="AU883" s="261"/>
      <c r="AV883" s="261"/>
      <c r="AW883" s="27"/>
      <c r="AX883" s="27"/>
    </row>
    <row r="884" spans="1:5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61"/>
      <c r="AU884" s="261"/>
      <c r="AV884" s="261"/>
      <c r="AW884" s="27"/>
      <c r="AX884" s="27"/>
    </row>
    <row r="885" spans="1:5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61"/>
      <c r="AU885" s="261"/>
      <c r="AV885" s="261"/>
      <c r="AW885" s="27"/>
      <c r="AX885" s="27"/>
    </row>
    <row r="886" spans="1:5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61"/>
      <c r="AU886" s="261"/>
      <c r="AV886" s="261"/>
      <c r="AW886" s="27"/>
      <c r="AX886" s="27"/>
    </row>
    <row r="887" spans="1:5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61"/>
      <c r="AU887" s="261"/>
      <c r="AV887" s="261"/>
      <c r="AW887" s="27"/>
      <c r="AX887" s="27"/>
    </row>
    <row r="888" spans="1:5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61"/>
      <c r="AU888" s="261"/>
      <c r="AV888" s="261"/>
      <c r="AW888" s="27"/>
      <c r="AX888" s="27"/>
    </row>
    <row r="889" spans="1:5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61"/>
      <c r="AU889" s="261"/>
      <c r="AV889" s="261"/>
      <c r="AW889" s="27"/>
      <c r="AX889" s="27"/>
    </row>
    <row r="890" spans="1:5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61"/>
      <c r="AU890" s="261"/>
      <c r="AV890" s="261"/>
      <c r="AW890" s="27"/>
      <c r="AX890" s="27"/>
    </row>
    <row r="891" spans="1:5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61"/>
      <c r="AU891" s="261"/>
      <c r="AV891" s="261"/>
      <c r="AW891" s="27"/>
      <c r="AX891" s="27"/>
    </row>
    <row r="892" spans="1:5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61"/>
      <c r="AU892" s="261"/>
      <c r="AV892" s="261"/>
      <c r="AW892" s="27"/>
      <c r="AX892" s="27"/>
    </row>
    <row r="893" spans="1:5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61"/>
      <c r="AU893" s="261"/>
      <c r="AV893" s="261"/>
      <c r="AW893" s="27"/>
      <c r="AX893" s="27"/>
    </row>
    <row r="894" spans="1:5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61"/>
      <c r="AU894" s="261"/>
      <c r="AV894" s="261"/>
      <c r="AW894" s="27"/>
      <c r="AX894" s="27"/>
    </row>
    <row r="895" spans="1:5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61"/>
      <c r="AU895" s="261"/>
      <c r="AV895" s="261"/>
      <c r="AW895" s="27"/>
      <c r="AX895" s="27"/>
    </row>
    <row r="896" spans="1:5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61"/>
      <c r="AU896" s="261"/>
      <c r="AV896" s="261"/>
      <c r="AW896" s="27"/>
      <c r="AX896" s="27"/>
    </row>
    <row r="897" spans="1:5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61"/>
      <c r="AU897" s="261"/>
      <c r="AV897" s="261"/>
      <c r="AW897" s="27"/>
      <c r="AX897" s="27"/>
    </row>
    <row r="898" spans="1:5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61"/>
      <c r="AU898" s="261"/>
      <c r="AV898" s="261"/>
      <c r="AW898" s="27"/>
      <c r="AX898" s="27"/>
    </row>
    <row r="899" spans="1:5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61"/>
      <c r="AU899" s="261"/>
      <c r="AV899" s="261"/>
      <c r="AW899" s="27"/>
      <c r="AX899" s="27"/>
    </row>
    <row r="900" spans="1:5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61"/>
      <c r="AU900" s="261"/>
      <c r="AV900" s="261"/>
      <c r="AW900" s="27"/>
      <c r="AX900" s="27"/>
    </row>
    <row r="901" spans="1:5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61"/>
      <c r="AU901" s="261"/>
      <c r="AV901" s="261"/>
      <c r="AW901" s="27"/>
      <c r="AX901" s="27"/>
    </row>
    <row r="902" spans="1:5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61"/>
      <c r="AU902" s="261"/>
      <c r="AV902" s="261"/>
      <c r="AW902" s="27"/>
      <c r="AX902" s="27"/>
    </row>
    <row r="903" spans="1:5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61"/>
      <c r="AU903" s="261"/>
      <c r="AV903" s="261"/>
      <c r="AW903" s="27"/>
      <c r="AX903" s="27"/>
    </row>
    <row r="904" spans="1:5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61"/>
      <c r="AU904" s="261"/>
      <c r="AV904" s="261"/>
      <c r="AW904" s="27"/>
      <c r="AX904" s="27"/>
    </row>
    <row r="905" spans="1:5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61"/>
      <c r="AU905" s="261"/>
      <c r="AV905" s="261"/>
      <c r="AW905" s="27"/>
      <c r="AX905" s="27"/>
    </row>
    <row r="906" spans="1:5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61"/>
      <c r="AU906" s="261"/>
      <c r="AV906" s="261"/>
      <c r="AW906" s="27"/>
      <c r="AX906" s="27"/>
    </row>
    <row r="907" spans="1:5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61"/>
      <c r="AU907" s="261"/>
      <c r="AV907" s="261"/>
      <c r="AW907" s="27"/>
      <c r="AX907" s="27"/>
    </row>
    <row r="908" spans="1:5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61"/>
      <c r="AU908" s="261"/>
      <c r="AV908" s="261"/>
      <c r="AW908" s="27"/>
      <c r="AX908" s="27"/>
    </row>
    <row r="909" spans="1:5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61"/>
      <c r="AU909" s="261"/>
      <c r="AV909" s="261"/>
      <c r="AW909" s="27"/>
      <c r="AX909" s="27"/>
    </row>
    <row r="910" spans="1:5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61"/>
      <c r="AU910" s="261"/>
      <c r="AV910" s="261"/>
      <c r="AW910" s="27"/>
      <c r="AX910" s="27"/>
    </row>
    <row r="911" spans="1:5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61"/>
      <c r="AU911" s="261"/>
      <c r="AV911" s="261"/>
      <c r="AW911" s="27"/>
      <c r="AX911" s="27"/>
    </row>
    <row r="912" spans="1:5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61"/>
      <c r="AU912" s="261"/>
      <c r="AV912" s="261"/>
      <c r="AW912" s="27"/>
      <c r="AX912" s="27"/>
    </row>
    <row r="913" spans="1:5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61"/>
      <c r="AU913" s="261"/>
      <c r="AV913" s="261"/>
      <c r="AW913" s="27"/>
      <c r="AX913" s="27"/>
    </row>
    <row r="914" spans="1:5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61"/>
      <c r="AU914" s="261"/>
      <c r="AV914" s="261"/>
      <c r="AW914" s="27"/>
      <c r="AX914" s="27"/>
    </row>
    <row r="915" spans="1:5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61"/>
      <c r="AU915" s="261"/>
      <c r="AV915" s="261"/>
      <c r="AW915" s="27"/>
      <c r="AX915" s="27"/>
    </row>
    <row r="916" spans="1:5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61"/>
      <c r="AU916" s="261"/>
      <c r="AV916" s="261"/>
      <c r="AW916" s="27"/>
      <c r="AX916" s="27"/>
    </row>
    <row r="917" spans="1:5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61"/>
      <c r="AU917" s="261"/>
      <c r="AV917" s="261"/>
      <c r="AW917" s="27"/>
      <c r="AX917" s="27"/>
    </row>
    <row r="918" spans="1:5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61"/>
      <c r="AU918" s="261"/>
      <c r="AV918" s="261"/>
      <c r="AW918" s="27"/>
      <c r="AX918" s="27"/>
    </row>
    <row r="919" spans="1:5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61"/>
      <c r="AU919" s="261"/>
      <c r="AV919" s="261"/>
      <c r="AW919" s="27"/>
      <c r="AX919" s="27"/>
    </row>
    <row r="920" spans="1:5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61"/>
      <c r="AU920" s="261"/>
      <c r="AV920" s="261"/>
      <c r="AW920" s="27"/>
      <c r="AX920" s="27"/>
    </row>
    <row r="921" spans="1:5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61"/>
      <c r="AU921" s="261"/>
      <c r="AV921" s="261"/>
      <c r="AW921" s="27"/>
      <c r="AX921" s="27"/>
    </row>
    <row r="922" spans="1:5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61"/>
      <c r="AU922" s="261"/>
      <c r="AV922" s="261"/>
      <c r="AW922" s="27"/>
      <c r="AX922" s="27"/>
    </row>
    <row r="923" spans="1:5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61"/>
      <c r="AU923" s="261"/>
      <c r="AV923" s="261"/>
      <c r="AW923" s="27"/>
      <c r="AX923" s="27"/>
    </row>
    <row r="924" spans="1:5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61"/>
      <c r="AU924" s="261"/>
      <c r="AV924" s="261"/>
      <c r="AW924" s="27"/>
      <c r="AX924" s="27"/>
    </row>
    <row r="925" spans="1:5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61"/>
      <c r="AU925" s="261"/>
      <c r="AV925" s="261"/>
      <c r="AW925" s="27"/>
      <c r="AX925" s="27"/>
    </row>
    <row r="926" spans="1:5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61"/>
      <c r="AU926" s="261"/>
      <c r="AV926" s="261"/>
      <c r="AW926" s="27"/>
      <c r="AX926" s="27"/>
    </row>
    <row r="927" spans="1:5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61"/>
      <c r="AU927" s="261"/>
      <c r="AV927" s="261"/>
      <c r="AW927" s="27"/>
      <c r="AX927" s="27"/>
    </row>
    <row r="928" spans="1:5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61"/>
      <c r="AU928" s="261"/>
      <c r="AV928" s="261"/>
      <c r="AW928" s="27"/>
      <c r="AX928" s="27"/>
    </row>
    <row r="929" spans="1:5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61"/>
      <c r="AU929" s="261"/>
      <c r="AV929" s="261"/>
      <c r="AW929" s="27"/>
      <c r="AX929" s="27"/>
    </row>
    <row r="930" spans="1:5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61"/>
      <c r="AU930" s="261"/>
      <c r="AV930" s="261"/>
      <c r="AW930" s="27"/>
      <c r="AX930" s="27"/>
    </row>
    <row r="931" spans="1:5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61"/>
      <c r="AU931" s="261"/>
      <c r="AV931" s="261"/>
      <c r="AW931" s="27"/>
      <c r="AX931" s="27"/>
    </row>
    <row r="932" spans="1:5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61"/>
      <c r="AU932" s="261"/>
      <c r="AV932" s="261"/>
      <c r="AW932" s="27"/>
      <c r="AX932" s="27"/>
    </row>
    <row r="933" spans="1:5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61"/>
      <c r="AU933" s="261"/>
      <c r="AV933" s="261"/>
      <c r="AW933" s="27"/>
      <c r="AX933" s="27"/>
    </row>
    <row r="934" spans="1:5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61"/>
      <c r="AU934" s="261"/>
      <c r="AV934" s="261"/>
      <c r="AW934" s="27"/>
      <c r="AX934" s="27"/>
    </row>
    <row r="935" spans="1:5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61"/>
      <c r="AU935" s="261"/>
      <c r="AV935" s="261"/>
      <c r="AW935" s="27"/>
      <c r="AX935" s="27"/>
    </row>
    <row r="936" spans="1:5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61"/>
      <c r="AU936" s="261"/>
      <c r="AV936" s="261"/>
      <c r="AW936" s="27"/>
      <c r="AX936" s="27"/>
    </row>
    <row r="937" spans="1:5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61"/>
      <c r="AU937" s="261"/>
      <c r="AV937" s="261"/>
      <c r="AW937" s="27"/>
      <c r="AX937" s="27"/>
    </row>
    <row r="938" spans="1:5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61"/>
      <c r="AU938" s="261"/>
      <c r="AV938" s="261"/>
      <c r="AW938" s="27"/>
      <c r="AX938" s="27"/>
    </row>
    <row r="939" spans="1:5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61"/>
      <c r="AU939" s="261"/>
      <c r="AV939" s="261"/>
      <c r="AW939" s="27"/>
      <c r="AX939" s="27"/>
    </row>
    <row r="940" spans="1:5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61"/>
      <c r="AU940" s="261"/>
      <c r="AV940" s="261"/>
      <c r="AW940" s="27"/>
      <c r="AX940" s="27"/>
    </row>
    <row r="941" spans="1:5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61"/>
      <c r="AU941" s="261"/>
      <c r="AV941" s="261"/>
      <c r="AW941" s="27"/>
      <c r="AX941" s="27"/>
    </row>
    <row r="942" spans="1:5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61"/>
      <c r="AU942" s="261"/>
      <c r="AV942" s="261"/>
      <c r="AW942" s="27"/>
      <c r="AX942" s="27"/>
    </row>
    <row r="943" spans="1:5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61"/>
      <c r="AU943" s="261"/>
      <c r="AV943" s="261"/>
      <c r="AW943" s="27"/>
      <c r="AX943" s="27"/>
    </row>
    <row r="944" spans="1:5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61"/>
      <c r="AU944" s="261"/>
      <c r="AV944" s="261"/>
      <c r="AW944" s="27"/>
      <c r="AX944" s="27"/>
    </row>
    <row r="945" spans="1:5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61"/>
      <c r="AU945" s="261"/>
      <c r="AV945" s="261"/>
      <c r="AW945" s="27"/>
      <c r="AX945" s="27"/>
    </row>
    <row r="946" spans="1:5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61"/>
      <c r="AU946" s="261"/>
      <c r="AV946" s="261"/>
      <c r="AW946" s="27"/>
      <c r="AX946" s="27"/>
    </row>
    <row r="947" spans="1:5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61"/>
      <c r="AU947" s="261"/>
      <c r="AV947" s="261"/>
      <c r="AW947" s="27"/>
      <c r="AX947" s="27"/>
    </row>
    <row r="948" spans="1:5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61"/>
      <c r="AU948" s="261"/>
      <c r="AV948" s="261"/>
      <c r="AW948" s="27"/>
      <c r="AX948" s="27"/>
    </row>
    <row r="949" spans="1:5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61"/>
      <c r="AU949" s="261"/>
      <c r="AV949" s="261"/>
      <c r="AW949" s="27"/>
      <c r="AX949" s="27"/>
    </row>
    <row r="950" spans="1:5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61"/>
      <c r="AU950" s="261"/>
      <c r="AV950" s="261"/>
      <c r="AW950" s="27"/>
      <c r="AX950" s="27"/>
    </row>
    <row r="951" spans="1:5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61"/>
      <c r="AU951" s="261"/>
      <c r="AV951" s="261"/>
      <c r="AW951" s="27"/>
      <c r="AX951" s="27"/>
    </row>
    <row r="952" spans="1:5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61"/>
      <c r="AU952" s="261"/>
      <c r="AV952" s="261"/>
      <c r="AW952" s="27"/>
      <c r="AX952" s="27"/>
    </row>
    <row r="953" spans="1:5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61"/>
      <c r="AU953" s="261"/>
      <c r="AV953" s="261"/>
      <c r="AW953" s="27"/>
      <c r="AX953" s="27"/>
    </row>
    <row r="954" spans="1:5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61"/>
      <c r="AU954" s="261"/>
      <c r="AV954" s="261"/>
      <c r="AW954" s="27"/>
      <c r="AX954" s="27"/>
    </row>
    <row r="955" spans="1:5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61"/>
      <c r="AU955" s="261"/>
      <c r="AV955" s="261"/>
      <c r="AW955" s="27"/>
      <c r="AX955" s="27"/>
    </row>
    <row r="956" spans="1:5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61"/>
      <c r="AU956" s="261"/>
      <c r="AV956" s="261"/>
      <c r="AW956" s="27"/>
      <c r="AX956" s="27"/>
    </row>
    <row r="957" spans="1:5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61"/>
      <c r="AU957" s="261"/>
      <c r="AV957" s="261"/>
      <c r="AW957" s="27"/>
      <c r="AX957" s="27"/>
    </row>
    <row r="958" spans="1:5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61"/>
      <c r="AU958" s="261"/>
      <c r="AV958" s="261"/>
      <c r="AW958" s="27"/>
      <c r="AX958" s="27"/>
    </row>
    <row r="959" spans="1:5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61"/>
      <c r="AU959" s="261"/>
      <c r="AV959" s="261"/>
      <c r="AW959" s="27"/>
      <c r="AX959" s="27"/>
    </row>
    <row r="960" spans="1:5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61"/>
      <c r="AU960" s="261"/>
      <c r="AV960" s="261"/>
      <c r="AW960" s="27"/>
      <c r="AX960" s="27"/>
    </row>
    <row r="961" spans="1:5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61"/>
      <c r="AU961" s="261"/>
      <c r="AV961" s="261"/>
      <c r="AW961" s="27"/>
      <c r="AX961" s="27"/>
    </row>
    <row r="962" spans="1:5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61"/>
      <c r="AU962" s="261"/>
      <c r="AV962" s="261"/>
      <c r="AW962" s="27"/>
      <c r="AX962" s="27"/>
    </row>
    <row r="963" spans="1:5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61"/>
      <c r="AU963" s="261"/>
      <c r="AV963" s="261"/>
      <c r="AW963" s="27"/>
      <c r="AX963" s="27"/>
    </row>
    <row r="964" spans="1:5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61"/>
      <c r="AU964" s="261"/>
      <c r="AV964" s="261"/>
      <c r="AW964" s="27"/>
      <c r="AX964" s="27"/>
    </row>
    <row r="965" spans="1:5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61"/>
      <c r="AU965" s="261"/>
      <c r="AV965" s="261"/>
      <c r="AW965" s="27"/>
      <c r="AX965" s="27"/>
    </row>
    <row r="966" spans="1:5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61"/>
      <c r="AU966" s="261"/>
      <c r="AV966" s="261"/>
      <c r="AW966" s="27"/>
      <c r="AX966" s="27"/>
    </row>
    <row r="967" spans="1:5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61"/>
      <c r="AU967" s="261"/>
      <c r="AV967" s="261"/>
      <c r="AW967" s="27"/>
      <c r="AX967" s="27"/>
    </row>
    <row r="968" spans="1:5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61"/>
      <c r="AU968" s="261"/>
      <c r="AV968" s="261"/>
      <c r="AW968" s="27"/>
      <c r="AX968" s="27"/>
    </row>
    <row r="969" spans="1:5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61"/>
      <c r="AU969" s="261"/>
      <c r="AV969" s="261"/>
      <c r="AW969" s="27"/>
      <c r="AX969" s="27"/>
    </row>
    <row r="970" spans="1:5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61"/>
      <c r="AU970" s="261"/>
      <c r="AV970" s="261"/>
      <c r="AW970" s="27"/>
      <c r="AX970" s="27"/>
    </row>
    <row r="971" spans="1:5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61"/>
      <c r="AU971" s="261"/>
      <c r="AV971" s="261"/>
      <c r="AW971" s="27"/>
      <c r="AX971" s="27"/>
    </row>
    <row r="972" spans="1:5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61"/>
      <c r="AU972" s="261"/>
      <c r="AV972" s="261"/>
      <c r="AW972" s="27"/>
      <c r="AX972" s="27"/>
    </row>
    <row r="973" spans="1:5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61"/>
      <c r="AU973" s="261"/>
      <c r="AV973" s="261"/>
      <c r="AW973" s="27"/>
      <c r="AX973" s="27"/>
    </row>
    <row r="974" spans="1:5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61"/>
      <c r="AU974" s="261"/>
      <c r="AV974" s="261"/>
      <c r="AW974" s="27"/>
      <c r="AX974" s="27"/>
    </row>
    <row r="975" spans="1:5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61"/>
      <c r="AU975" s="261"/>
      <c r="AV975" s="261"/>
      <c r="AW975" s="27"/>
      <c r="AX975" s="27"/>
    </row>
    <row r="976" spans="1:5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61"/>
      <c r="AU976" s="261"/>
      <c r="AV976" s="261"/>
      <c r="AW976" s="27"/>
      <c r="AX976" s="27"/>
    </row>
    <row r="977" spans="1:5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61"/>
      <c r="AU977" s="261"/>
      <c r="AV977" s="261"/>
      <c r="AW977" s="27"/>
      <c r="AX977" s="27"/>
    </row>
    <row r="978" spans="1:5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61"/>
      <c r="AU978" s="261"/>
      <c r="AV978" s="261"/>
      <c r="AW978" s="27"/>
      <c r="AX978" s="27"/>
    </row>
    <row r="979" spans="1:5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61"/>
      <c r="AU979" s="261"/>
      <c r="AV979" s="261"/>
      <c r="AW979" s="27"/>
      <c r="AX979" s="27"/>
    </row>
    <row r="980" spans="1:5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61"/>
      <c r="AU980" s="261"/>
      <c r="AV980" s="261"/>
      <c r="AW980" s="27"/>
      <c r="AX980" s="27"/>
    </row>
    <row r="981" spans="1:5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61"/>
      <c r="AU981" s="261"/>
      <c r="AV981" s="261"/>
      <c r="AW981" s="27"/>
      <c r="AX981" s="27"/>
    </row>
    <row r="982" spans="1:5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61"/>
      <c r="AU982" s="261"/>
      <c r="AV982" s="261"/>
      <c r="AW982" s="27"/>
      <c r="AX982" s="27"/>
    </row>
    <row r="983" spans="1:5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61"/>
      <c r="AU983" s="261"/>
      <c r="AV983" s="261"/>
      <c r="AW983" s="27"/>
      <c r="AX983" s="27"/>
    </row>
    <row r="984" spans="1:5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61"/>
      <c r="AU984" s="261"/>
      <c r="AV984" s="261"/>
      <c r="AW984" s="27"/>
      <c r="AX984" s="27"/>
    </row>
    <row r="985" spans="1:5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61"/>
      <c r="AU985" s="261"/>
      <c r="AV985" s="261"/>
      <c r="AW985" s="27"/>
      <c r="AX985" s="27"/>
    </row>
    <row r="986" spans="1:5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61"/>
      <c r="AU986" s="261"/>
      <c r="AV986" s="261"/>
      <c r="AW986" s="27"/>
      <c r="AX986" s="27"/>
    </row>
    <row r="987" spans="1:5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61"/>
      <c r="AU987" s="261"/>
      <c r="AV987" s="261"/>
      <c r="AW987" s="27"/>
      <c r="AX987" s="27"/>
    </row>
    <row r="988" spans="1:5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61"/>
      <c r="AU988" s="261"/>
      <c r="AV988" s="261"/>
      <c r="AW988" s="27"/>
      <c r="AX988" s="27"/>
    </row>
    <row r="989" spans="1:5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61"/>
      <c r="AU989" s="261"/>
      <c r="AV989" s="261"/>
      <c r="AW989" s="27"/>
      <c r="AX989" s="27"/>
    </row>
    <row r="990" spans="1:5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61"/>
      <c r="AU990" s="261"/>
      <c r="AV990" s="261"/>
      <c r="AW990" s="27"/>
      <c r="AX990" s="27"/>
    </row>
    <row r="991" spans="1:5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61"/>
      <c r="AU991" s="261"/>
      <c r="AV991" s="261"/>
      <c r="AW991" s="27"/>
      <c r="AX991" s="27"/>
    </row>
    <row r="992" spans="1:50" x14ac:dyDescent="0.25">
      <c r="A992" s="27"/>
      <c r="B992" s="27"/>
      <c r="C992" s="27"/>
      <c r="D992" s="27"/>
      <c r="E992" s="27"/>
      <c r="F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61"/>
      <c r="AU992" s="261"/>
      <c r="AV992" s="261"/>
      <c r="AW992" s="27"/>
      <c r="AX992" s="27"/>
    </row>
    <row r="993" spans="1:50" x14ac:dyDescent="0.25">
      <c r="A993" s="27"/>
      <c r="B993" s="27"/>
      <c r="C993" s="27"/>
      <c r="D993" s="27"/>
      <c r="E993" s="27"/>
      <c r="F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61"/>
      <c r="AU993" s="261"/>
      <c r="AV993" s="261"/>
      <c r="AW993" s="27"/>
      <c r="AX993" s="27"/>
    </row>
    <row r="994" spans="1:50" x14ac:dyDescent="0.25">
      <c r="A994" s="27"/>
      <c r="B994" s="27"/>
      <c r="C994" s="27"/>
      <c r="D994" s="27"/>
      <c r="E994" s="27"/>
      <c r="F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61"/>
      <c r="AU994" s="261"/>
      <c r="AV994" s="261"/>
      <c r="AW994" s="27"/>
      <c r="AX994" s="27"/>
    </row>
    <row r="995" spans="1:50" x14ac:dyDescent="0.25">
      <c r="A995" s="27"/>
      <c r="B995" s="27"/>
      <c r="C995" s="27"/>
      <c r="D995" s="27"/>
      <c r="E995" s="27"/>
      <c r="F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61"/>
      <c r="AU995" s="261"/>
      <c r="AV995" s="261"/>
      <c r="AW995" s="27"/>
      <c r="AX995" s="27"/>
    </row>
    <row r="996" spans="1:50" x14ac:dyDescent="0.25">
      <c r="A996" s="27"/>
      <c r="B996" s="27"/>
      <c r="C996" s="27"/>
      <c r="D996" s="27"/>
      <c r="E996" s="27"/>
      <c r="F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61"/>
      <c r="AU996" s="261"/>
      <c r="AV996" s="261"/>
      <c r="AW996" s="27"/>
      <c r="AX996" s="27"/>
    </row>
    <row r="997" spans="1:50" x14ac:dyDescent="0.25">
      <c r="A997" s="27"/>
      <c r="B997" s="27"/>
      <c r="C997" s="27"/>
      <c r="D997" s="27"/>
      <c r="E997" s="27"/>
      <c r="F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61"/>
      <c r="AU997" s="261"/>
      <c r="AV997" s="261"/>
      <c r="AW997" s="27"/>
      <c r="AX997" s="27"/>
    </row>
    <row r="998" spans="1:50" x14ac:dyDescent="0.25">
      <c r="A998" s="27"/>
      <c r="B998" s="27"/>
      <c r="C998" s="27"/>
      <c r="D998" s="27"/>
      <c r="E998" s="27"/>
      <c r="F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61"/>
      <c r="AU998" s="261"/>
      <c r="AV998" s="261"/>
      <c r="AW998" s="27"/>
      <c r="AX998" s="27"/>
    </row>
    <row r="999" spans="1:50" x14ac:dyDescent="0.25">
      <c r="A999" s="27"/>
      <c r="B999" s="27"/>
      <c r="C999" s="27"/>
      <c r="D999" s="27"/>
      <c r="E999" s="27"/>
      <c r="F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61"/>
      <c r="AU999" s="261"/>
      <c r="AV999" s="261"/>
      <c r="AW999" s="27"/>
      <c r="AX999" s="27"/>
    </row>
    <row r="1000" spans="1:50" x14ac:dyDescent="0.25">
      <c r="A1000" s="27"/>
      <c r="B1000" s="27"/>
      <c r="C1000" s="27"/>
      <c r="D1000" s="27"/>
      <c r="E1000" s="27"/>
      <c r="F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61"/>
      <c r="AU1000" s="261"/>
      <c r="AV1000" s="261"/>
      <c r="AW1000" s="27"/>
      <c r="AX1000" s="27"/>
    </row>
  </sheetData>
  <sheetProtection algorithmName="SHA-512" hashValue="01+0dtS78uRqtvVNjDRy8VR48wDFZx7iJkBmT0QqiC2+VEuv/vtk4nzaoZBhES6RlcA4BYD4xsQFyYn9xgiTgA==" saltValue="QDFCV2i5v+v+pceuO3qEoA==" spinCount="100000" sheet="1" objects="1" scenarios="1"/>
  <mergeCells count="60">
    <mergeCell ref="Q30:Q31"/>
    <mergeCell ref="R32:R35"/>
    <mergeCell ref="N23:N25"/>
    <mergeCell ref="U26:U27"/>
    <mergeCell ref="U28:U29"/>
    <mergeCell ref="U30:U31"/>
    <mergeCell ref="U32:U35"/>
    <mergeCell ref="V4:X4"/>
    <mergeCell ref="D7:S7"/>
    <mergeCell ref="P8:P9"/>
    <mergeCell ref="Q8:Q9"/>
    <mergeCell ref="R8:R9"/>
    <mergeCell ref="S8:S9"/>
    <mergeCell ref="E3:K4"/>
    <mergeCell ref="N3:U3"/>
    <mergeCell ref="K8:K9"/>
    <mergeCell ref="G8:G9"/>
    <mergeCell ref="H8:H9"/>
    <mergeCell ref="L8:L9"/>
    <mergeCell ref="U8:U9"/>
    <mergeCell ref="O8:O9"/>
    <mergeCell ref="I8:I9"/>
    <mergeCell ref="J8:J9"/>
    <mergeCell ref="K45:M45"/>
    <mergeCell ref="A23:A36"/>
    <mergeCell ref="M8:M9"/>
    <mergeCell ref="N8:N9"/>
    <mergeCell ref="I10:I21"/>
    <mergeCell ref="A10:A21"/>
    <mergeCell ref="J10:J21"/>
    <mergeCell ref="K10:K21"/>
    <mergeCell ref="H10:H21"/>
    <mergeCell ref="H23:H36"/>
    <mergeCell ref="I23:I36"/>
    <mergeCell ref="J23:J36"/>
    <mergeCell ref="L10:L21"/>
    <mergeCell ref="K23:K36"/>
    <mergeCell ref="L26:L27"/>
    <mergeCell ref="AO43:AR44"/>
    <mergeCell ref="K41:S41"/>
    <mergeCell ref="K42:M42"/>
    <mergeCell ref="K43:M43"/>
    <mergeCell ref="K44:M44"/>
    <mergeCell ref="K50:S50"/>
    <mergeCell ref="K51:M51"/>
    <mergeCell ref="K52:M52"/>
    <mergeCell ref="K53:M53"/>
    <mergeCell ref="K54:M54"/>
    <mergeCell ref="U23:U25"/>
    <mergeCell ref="L23:L25"/>
    <mergeCell ref="M23:M25"/>
    <mergeCell ref="L28:L29"/>
    <mergeCell ref="L30:L31"/>
    <mergeCell ref="L32:L35"/>
    <mergeCell ref="M26:M27"/>
    <mergeCell ref="M28:M29"/>
    <mergeCell ref="M30:M31"/>
    <mergeCell ref="M32:M35"/>
    <mergeCell ref="O26:O27"/>
    <mergeCell ref="P28:P29"/>
  </mergeCells>
  <pageMargins left="0.15748031496062992" right="0.15748031496062992" top="0.19685039370078741" bottom="0.19685039370078741" header="0" footer="0"/>
  <pageSetup scale="85" orientation="landscape" r:id="rId1"/>
  <ignoredErrors>
    <ignoredError sqref="F22:G22 D22:E22 J37 E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1260"/>
  <sheetViews>
    <sheetView zoomScale="90" zoomScaleNormal="90" workbookViewId="0">
      <pane ySplit="2" topLeftCell="A298" activePane="bottomLeft" state="frozen"/>
      <selection pane="bottomLeft" activeCell="C299" sqref="C299"/>
    </sheetView>
  </sheetViews>
  <sheetFormatPr baseColWidth="10" defaultColWidth="14.42578125" defaultRowHeight="15" customHeight="1" x14ac:dyDescent="0.25"/>
  <cols>
    <col min="1" max="1" width="10.85546875" customWidth="1"/>
    <col min="2" max="2" width="13.7109375" customWidth="1"/>
    <col min="3" max="3" width="18.7109375" customWidth="1"/>
    <col min="4" max="4" width="44.42578125" customWidth="1"/>
    <col min="5" max="5" width="14.42578125" customWidth="1"/>
    <col min="6" max="6" width="21.140625" customWidth="1"/>
    <col min="7" max="7" width="26.42578125" customWidth="1"/>
    <col min="8" max="8" width="28.85546875" hidden="1" customWidth="1"/>
    <col min="9" max="9" width="17.28515625" hidden="1" customWidth="1"/>
    <col min="10" max="10" width="16.7109375" hidden="1" customWidth="1"/>
    <col min="11" max="11" width="4.85546875" customWidth="1"/>
    <col min="12" max="12" width="23.85546875" customWidth="1"/>
    <col min="13" max="13" width="15.140625" customWidth="1"/>
    <col min="14" max="15" width="14.28515625" bestFit="1" customWidth="1"/>
    <col min="16" max="16" width="19" customWidth="1"/>
    <col min="17" max="18" width="12.7109375" customWidth="1"/>
    <col min="19" max="20" width="11.42578125" customWidth="1"/>
    <col min="21" max="21" width="14.7109375" customWidth="1"/>
    <col min="22" max="22" width="12.85546875" customWidth="1"/>
    <col min="23" max="23" width="17" customWidth="1"/>
    <col min="24" max="24" width="15.85546875" customWidth="1"/>
    <col min="25" max="25" width="15.5703125" customWidth="1"/>
    <col min="26" max="26" width="13.85546875" customWidth="1"/>
  </cols>
  <sheetData>
    <row r="1" spans="1:26" ht="43.5" customHeight="1" x14ac:dyDescent="0.25">
      <c r="A1" s="419" t="s">
        <v>715</v>
      </c>
      <c r="B1" s="420"/>
      <c r="C1" s="420"/>
      <c r="D1" s="420"/>
      <c r="E1" s="420"/>
      <c r="F1" s="420"/>
      <c r="G1" s="421"/>
      <c r="H1" s="38"/>
      <c r="I1" s="38"/>
      <c r="J1" s="3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2.75" customHeight="1" thickBot="1" x14ac:dyDescent="0.3">
      <c r="A2" s="40" t="s">
        <v>279</v>
      </c>
      <c r="B2" s="41" t="s">
        <v>280</v>
      </c>
      <c r="C2" s="41" t="s">
        <v>18</v>
      </c>
      <c r="D2" s="41" t="s">
        <v>281</v>
      </c>
      <c r="E2" s="41" t="s">
        <v>282</v>
      </c>
      <c r="F2" s="42" t="s">
        <v>283</v>
      </c>
      <c r="G2" s="43" t="s">
        <v>284</v>
      </c>
      <c r="H2" s="38"/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2.75" customHeight="1" x14ac:dyDescent="0.25">
      <c r="A3" s="311">
        <v>1</v>
      </c>
      <c r="B3" s="308" t="s">
        <v>20</v>
      </c>
      <c r="C3" s="46" t="str">
        <f>I3</f>
        <v>6UACETIOX</v>
      </c>
      <c r="D3" s="46"/>
      <c r="E3" s="47">
        <f>+'CALCULO TARIFAS CC '!$S$45</f>
        <v>0.98429977792344414</v>
      </c>
      <c r="F3" s="48">
        <f t="shared" ref="F3:F34" si="0">ROUND(J3,4)</f>
        <v>768.84529999999995</v>
      </c>
      <c r="G3" s="49">
        <f t="shared" ref="G3:G272" si="1">+ROUND(F3*E3,2)</f>
        <v>756.77</v>
      </c>
      <c r="H3" s="50" t="s">
        <v>285</v>
      </c>
      <c r="I3" s="27" t="s">
        <v>40</v>
      </c>
      <c r="J3" s="27">
        <v>768.8452585</v>
      </c>
      <c r="K3" s="39"/>
      <c r="L3" s="299"/>
      <c r="M3" s="300"/>
      <c r="N3" s="301"/>
      <c r="O3" s="301"/>
      <c r="P3" s="301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x14ac:dyDescent="0.25">
      <c r="A4" s="312">
        <f>A3+1</f>
        <v>2</v>
      </c>
      <c r="B4" s="309"/>
      <c r="C4" s="53" t="str">
        <f t="shared" ref="C4:C67" si="2">I4</f>
        <v>6UACMARRI97</v>
      </c>
      <c r="D4" s="53"/>
      <c r="E4" s="54">
        <f>+'CALCULO TARIFAS CC '!$S$45</f>
        <v>0.98429977792344414</v>
      </c>
      <c r="F4" s="55">
        <f t="shared" si="0"/>
        <v>131.322</v>
      </c>
      <c r="G4" s="56">
        <f t="shared" si="1"/>
        <v>129.26</v>
      </c>
      <c r="H4" s="50" t="s">
        <v>285</v>
      </c>
      <c r="I4" s="27" t="s">
        <v>694</v>
      </c>
      <c r="J4" s="27">
        <v>131.3220417</v>
      </c>
      <c r="K4" s="39"/>
      <c r="L4" s="299"/>
      <c r="M4" s="300"/>
      <c r="N4" s="301"/>
      <c r="O4" s="301"/>
      <c r="P4" s="301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x14ac:dyDescent="0.25">
      <c r="A5" s="312">
        <f t="shared" ref="A5:A68" si="3">A4+1</f>
        <v>3</v>
      </c>
      <c r="B5" s="309"/>
      <c r="C5" s="53" t="str">
        <f t="shared" si="2"/>
        <v>6GACP</v>
      </c>
      <c r="D5" s="53"/>
      <c r="E5" s="54">
        <f>+'CALCULO TARIFAS CC '!$S$45</f>
        <v>0.98429977792344414</v>
      </c>
      <c r="F5" s="55">
        <f t="shared" si="0"/>
        <v>170.94040000000001</v>
      </c>
      <c r="G5" s="56">
        <f t="shared" si="1"/>
        <v>168.26</v>
      </c>
      <c r="H5" s="50" t="s">
        <v>285</v>
      </c>
      <c r="I5" s="27" t="s">
        <v>376</v>
      </c>
      <c r="J5" s="27">
        <v>170.94039129999999</v>
      </c>
      <c r="K5" s="39"/>
      <c r="L5" s="299"/>
      <c r="M5" s="300"/>
      <c r="N5" s="301"/>
      <c r="O5" s="301"/>
      <c r="P5" s="301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x14ac:dyDescent="0.25">
      <c r="A6" s="312">
        <f t="shared" si="3"/>
        <v>4</v>
      </c>
      <c r="B6" s="309"/>
      <c r="C6" s="53" t="str">
        <f t="shared" si="2"/>
        <v>6GAES</v>
      </c>
      <c r="D6" s="53"/>
      <c r="E6" s="54">
        <f>+'CALCULO TARIFAS CC '!$S$45</f>
        <v>0.98429977792344414</v>
      </c>
      <c r="F6" s="55">
        <f t="shared" si="0"/>
        <v>428.20299999999997</v>
      </c>
      <c r="G6" s="56">
        <f t="shared" si="1"/>
        <v>421.48</v>
      </c>
      <c r="H6" s="50" t="s">
        <v>285</v>
      </c>
      <c r="I6" s="27" t="s">
        <v>24</v>
      </c>
      <c r="J6" s="27">
        <v>428.20302349999997</v>
      </c>
      <c r="K6" s="39"/>
      <c r="L6" s="299"/>
      <c r="M6" s="300"/>
      <c r="N6" s="301"/>
      <c r="O6" s="301"/>
      <c r="P6" s="301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x14ac:dyDescent="0.25">
      <c r="A7" s="312">
        <f t="shared" si="3"/>
        <v>5</v>
      </c>
      <c r="B7" s="309"/>
      <c r="C7" s="53" t="str">
        <f t="shared" si="2"/>
        <v>6GAES-CHANG</v>
      </c>
      <c r="D7" s="53"/>
      <c r="E7" s="54">
        <f>+'CALCULO TARIFAS CC '!$S$45</f>
        <v>0.98429977792344414</v>
      </c>
      <c r="F7" s="55">
        <f t="shared" si="0"/>
        <v>45.032600000000002</v>
      </c>
      <c r="G7" s="56">
        <f t="shared" si="1"/>
        <v>44.33</v>
      </c>
      <c r="H7" s="50" t="s">
        <v>285</v>
      </c>
      <c r="I7" s="27" t="s">
        <v>25</v>
      </c>
      <c r="J7" s="27">
        <v>45.032584999999997</v>
      </c>
      <c r="K7" s="39"/>
      <c r="L7" s="299"/>
      <c r="M7" s="300"/>
      <c r="N7" s="301"/>
      <c r="O7" s="301"/>
      <c r="P7" s="301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12">
        <f t="shared" si="3"/>
        <v>6</v>
      </c>
      <c r="B8" s="309"/>
      <c r="C8" s="53" t="str">
        <f t="shared" si="2"/>
        <v>6UAGROIND</v>
      </c>
      <c r="D8" s="53"/>
      <c r="E8" s="54">
        <f>+'CALCULO TARIFAS CC '!$S$45</f>
        <v>0.98429977792344414</v>
      </c>
      <c r="F8" s="55">
        <f t="shared" si="0"/>
        <v>190.97040000000001</v>
      </c>
      <c r="G8" s="56">
        <f t="shared" si="1"/>
        <v>187.97</v>
      </c>
      <c r="H8" s="50" t="s">
        <v>285</v>
      </c>
      <c r="I8" s="27" t="s">
        <v>364</v>
      </c>
      <c r="J8" s="27">
        <v>190.9704266</v>
      </c>
      <c r="K8" s="39"/>
      <c r="L8" s="299"/>
      <c r="M8" s="300"/>
      <c r="N8" s="301"/>
      <c r="O8" s="301"/>
      <c r="P8" s="301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x14ac:dyDescent="0.25">
      <c r="A9" s="312">
        <f t="shared" si="3"/>
        <v>7</v>
      </c>
      <c r="B9" s="309"/>
      <c r="C9" s="53" t="str">
        <f t="shared" si="2"/>
        <v>6GALTOVALLE</v>
      </c>
      <c r="D9" s="53"/>
      <c r="E9" s="54">
        <f>+'CALCULO TARIFAS CC '!$S$45</f>
        <v>0.98429977792344414</v>
      </c>
      <c r="F9" s="55">
        <f t="shared" si="0"/>
        <v>9.7307000000000006</v>
      </c>
      <c r="G9" s="56">
        <f>+ROUND(F9*E9,2)</f>
        <v>9.58</v>
      </c>
      <c r="H9" s="50" t="s">
        <v>285</v>
      </c>
      <c r="I9" s="27" t="s">
        <v>26</v>
      </c>
      <c r="J9" s="27">
        <v>9.7306500000000007</v>
      </c>
      <c r="K9" s="39"/>
      <c r="L9" s="299"/>
      <c r="M9" s="300"/>
      <c r="N9" s="301"/>
      <c r="O9" s="301"/>
      <c r="P9" s="301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x14ac:dyDescent="0.25">
      <c r="A10" s="312">
        <f t="shared" si="3"/>
        <v>8</v>
      </c>
      <c r="B10" s="309"/>
      <c r="C10" s="53" t="str">
        <f t="shared" si="2"/>
        <v>6UAMPASA</v>
      </c>
      <c r="D10" s="53"/>
      <c r="E10" s="54">
        <f>+'CALCULO TARIFAS CC '!$S$45</f>
        <v>0.98429977792344414</v>
      </c>
      <c r="F10" s="55">
        <f t="shared" si="0"/>
        <v>107.2895</v>
      </c>
      <c r="G10" s="56">
        <f t="shared" si="1"/>
        <v>105.61</v>
      </c>
      <c r="H10" s="50" t="s">
        <v>285</v>
      </c>
      <c r="I10" s="27" t="s">
        <v>41</v>
      </c>
      <c r="J10" s="27">
        <v>107.28949470000001</v>
      </c>
      <c r="K10" s="39"/>
      <c r="L10" s="299"/>
      <c r="M10" s="300"/>
      <c r="N10" s="301"/>
      <c r="O10" s="301"/>
      <c r="P10" s="301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x14ac:dyDescent="0.25">
      <c r="A11" s="312">
        <f t="shared" si="3"/>
        <v>9</v>
      </c>
      <c r="B11" s="309"/>
      <c r="C11" s="53" t="str">
        <f t="shared" si="2"/>
        <v>6UANCON_ENT</v>
      </c>
      <c r="D11" s="53"/>
      <c r="E11" s="54">
        <f>+'CALCULO TARIFAS CC '!$S$45</f>
        <v>0.98429977792344414</v>
      </c>
      <c r="F11" s="55">
        <f t="shared" si="0"/>
        <v>306.1764</v>
      </c>
      <c r="G11" s="56">
        <f t="shared" si="1"/>
        <v>301.37</v>
      </c>
      <c r="H11" s="50" t="s">
        <v>285</v>
      </c>
      <c r="I11" s="27" t="s">
        <v>612</v>
      </c>
      <c r="J11" s="27">
        <v>306.1764068</v>
      </c>
      <c r="K11" s="39"/>
      <c r="L11" s="299"/>
      <c r="M11" s="300"/>
      <c r="N11" s="301"/>
      <c r="O11" s="301"/>
      <c r="P11" s="301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12">
        <f t="shared" si="3"/>
        <v>10</v>
      </c>
      <c r="B12" s="309"/>
      <c r="C12" s="53" t="str">
        <f t="shared" si="2"/>
        <v>6UARCE_AV</v>
      </c>
      <c r="D12" s="53"/>
      <c r="E12" s="54">
        <f>+'CALCULO TARIFAS CC '!$S$45</f>
        <v>0.98429977792344414</v>
      </c>
      <c r="F12" s="55">
        <f t="shared" si="0"/>
        <v>291.21339999999998</v>
      </c>
      <c r="G12" s="56">
        <f t="shared" si="1"/>
        <v>286.64</v>
      </c>
      <c r="H12" s="50" t="s">
        <v>285</v>
      </c>
      <c r="I12" s="27" t="s">
        <v>458</v>
      </c>
      <c r="J12" s="27">
        <v>291.2134077</v>
      </c>
      <c r="K12" s="39"/>
      <c r="L12" s="299"/>
      <c r="M12" s="300"/>
      <c r="N12" s="301"/>
      <c r="O12" s="301"/>
      <c r="P12" s="301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x14ac:dyDescent="0.25">
      <c r="A13" s="312">
        <f t="shared" si="3"/>
        <v>11</v>
      </c>
      <c r="B13" s="309"/>
      <c r="C13" s="53" t="str">
        <f t="shared" si="2"/>
        <v>6UARGOS</v>
      </c>
      <c r="D13" s="53"/>
      <c r="E13" s="54">
        <f>+'CALCULO TARIFAS CC '!$S$45</f>
        <v>0.98429977792344414</v>
      </c>
      <c r="F13" s="55">
        <f t="shared" si="0"/>
        <v>2642.1214</v>
      </c>
      <c r="G13" s="56">
        <f t="shared" si="1"/>
        <v>2600.64</v>
      </c>
      <c r="H13" s="50" t="s">
        <v>285</v>
      </c>
      <c r="I13" s="27" t="s">
        <v>42</v>
      </c>
      <c r="J13" s="27">
        <v>2642.1213720000001</v>
      </c>
      <c r="K13" s="39"/>
      <c r="L13" s="299"/>
      <c r="M13" s="300"/>
      <c r="N13" s="301"/>
      <c r="O13" s="301"/>
      <c r="P13" s="301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x14ac:dyDescent="0.25">
      <c r="A14" s="312">
        <f t="shared" si="3"/>
        <v>12</v>
      </c>
      <c r="B14" s="309"/>
      <c r="C14" s="53" t="str">
        <f t="shared" si="2"/>
        <v>6UATRIO1</v>
      </c>
      <c r="D14" s="53"/>
      <c r="E14" s="54">
        <f>+'CALCULO TARIFAS CC '!$S$45</f>
        <v>0.98429977792344414</v>
      </c>
      <c r="F14" s="55">
        <f t="shared" si="0"/>
        <v>159.6097</v>
      </c>
      <c r="G14" s="56">
        <f t="shared" si="1"/>
        <v>157.1</v>
      </c>
      <c r="H14" s="50" t="s">
        <v>285</v>
      </c>
      <c r="I14" s="27" t="s">
        <v>600</v>
      </c>
      <c r="J14" s="27">
        <v>159.60968489999999</v>
      </c>
      <c r="K14" s="39"/>
      <c r="L14" s="299"/>
      <c r="M14" s="300"/>
      <c r="N14" s="301"/>
      <c r="O14" s="301"/>
      <c r="P14" s="301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x14ac:dyDescent="0.25">
      <c r="A15" s="312">
        <f t="shared" si="3"/>
        <v>13</v>
      </c>
      <c r="B15" s="309"/>
      <c r="C15" s="53" t="str">
        <f t="shared" si="2"/>
        <v>6UAVIPAC</v>
      </c>
      <c r="D15" s="53"/>
      <c r="E15" s="54">
        <f>+'CALCULO TARIFAS CC '!$S$45</f>
        <v>0.98429977792344414</v>
      </c>
      <c r="F15" s="55">
        <f t="shared" si="0"/>
        <v>81.519000000000005</v>
      </c>
      <c r="G15" s="56">
        <f t="shared" si="1"/>
        <v>80.239999999999995</v>
      </c>
      <c r="H15" s="50" t="s">
        <v>285</v>
      </c>
      <c r="I15" s="27" t="s">
        <v>43</v>
      </c>
      <c r="J15" s="27">
        <v>81.518990299999999</v>
      </c>
      <c r="K15" s="39"/>
      <c r="L15" s="299"/>
      <c r="M15" s="300"/>
      <c r="N15" s="301"/>
      <c r="O15" s="301"/>
      <c r="P15" s="301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x14ac:dyDescent="0.25">
      <c r="A16" s="312">
        <f t="shared" si="3"/>
        <v>14</v>
      </c>
      <c r="B16" s="309"/>
      <c r="C16" s="53" t="str">
        <f t="shared" si="2"/>
        <v>6UAVIPACVAC</v>
      </c>
      <c r="D16" s="53"/>
      <c r="E16" s="54">
        <f>+'CALCULO TARIFAS CC '!$S$45</f>
        <v>0.98429977792344414</v>
      </c>
      <c r="F16" s="55">
        <f t="shared" si="0"/>
        <v>124.4119</v>
      </c>
      <c r="G16" s="56">
        <f t="shared" si="1"/>
        <v>122.46</v>
      </c>
      <c r="H16" s="50" t="s">
        <v>285</v>
      </c>
      <c r="I16" s="27" t="s">
        <v>576</v>
      </c>
      <c r="J16" s="27">
        <v>124.4118632</v>
      </c>
      <c r="K16" s="39"/>
      <c r="L16" s="299"/>
      <c r="M16" s="300"/>
      <c r="N16" s="301"/>
      <c r="O16" s="301"/>
      <c r="P16" s="301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5">
      <c r="A17" s="312">
        <f t="shared" si="3"/>
        <v>15</v>
      </c>
      <c r="B17" s="309"/>
      <c r="C17" s="53" t="str">
        <f t="shared" si="2"/>
        <v>6UBPARK</v>
      </c>
      <c r="D17" s="53"/>
      <c r="E17" s="54">
        <f>+'CALCULO TARIFAS CC '!$S$45</f>
        <v>0.98429977792344414</v>
      </c>
      <c r="F17" s="55">
        <f t="shared" si="0"/>
        <v>1732.5365999999999</v>
      </c>
      <c r="G17" s="56">
        <f t="shared" si="1"/>
        <v>1705.34</v>
      </c>
      <c r="H17" s="50" t="s">
        <v>285</v>
      </c>
      <c r="I17" s="27" t="s">
        <v>613</v>
      </c>
      <c r="J17" s="27">
        <v>1732.5366441000001</v>
      </c>
      <c r="K17" s="39"/>
      <c r="L17" s="299"/>
      <c r="M17" s="300"/>
      <c r="N17" s="301"/>
      <c r="O17" s="301"/>
      <c r="P17" s="301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x14ac:dyDescent="0.25">
      <c r="A18" s="312">
        <f t="shared" si="3"/>
        <v>16</v>
      </c>
      <c r="B18" s="309"/>
      <c r="C18" s="53" t="str">
        <f t="shared" si="2"/>
        <v>6UBRISTOL</v>
      </c>
      <c r="D18" s="53"/>
      <c r="E18" s="54">
        <f>+'CALCULO TARIFAS CC '!$S$45</f>
        <v>0.98429977792344414</v>
      </c>
      <c r="F18" s="55">
        <f t="shared" si="0"/>
        <v>312.65010000000001</v>
      </c>
      <c r="G18" s="56">
        <f t="shared" si="1"/>
        <v>307.74</v>
      </c>
      <c r="H18" s="50" t="s">
        <v>285</v>
      </c>
      <c r="I18" s="27" t="s">
        <v>575</v>
      </c>
      <c r="J18" s="27">
        <v>312.65005480000002</v>
      </c>
      <c r="K18" s="39"/>
      <c r="L18" s="299"/>
      <c r="M18" s="300"/>
      <c r="N18" s="301"/>
      <c r="O18" s="301"/>
      <c r="P18" s="301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x14ac:dyDescent="0.25">
      <c r="A19" s="312">
        <f t="shared" si="3"/>
        <v>17</v>
      </c>
      <c r="B19" s="309"/>
      <c r="C19" s="53" t="str">
        <f t="shared" si="2"/>
        <v>6UBWESTD</v>
      </c>
      <c r="D19" s="53"/>
      <c r="E19" s="54">
        <f>+'CALCULO TARIFAS CC '!$S$45</f>
        <v>0.98429977792344414</v>
      </c>
      <c r="F19" s="55">
        <f t="shared" si="0"/>
        <v>107.5599</v>
      </c>
      <c r="G19" s="56">
        <f t="shared" si="1"/>
        <v>105.87</v>
      </c>
      <c r="H19" s="50" t="s">
        <v>285</v>
      </c>
      <c r="I19" s="27" t="s">
        <v>614</v>
      </c>
      <c r="J19" s="27">
        <v>107.5598732</v>
      </c>
      <c r="K19" s="39"/>
      <c r="L19" s="299"/>
      <c r="M19" s="300"/>
      <c r="N19" s="301"/>
      <c r="O19" s="301"/>
      <c r="P19" s="301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x14ac:dyDescent="0.25">
      <c r="A20" s="312">
        <f t="shared" si="3"/>
        <v>18</v>
      </c>
      <c r="B20" s="309"/>
      <c r="C20" s="53" t="str">
        <f t="shared" si="2"/>
        <v>6UCABLEONDA</v>
      </c>
      <c r="D20" s="53"/>
      <c r="E20" s="54">
        <f>+'CALCULO TARIFAS CC '!$S$45</f>
        <v>0.98429977792344414</v>
      </c>
      <c r="F20" s="55">
        <f t="shared" si="0"/>
        <v>972.19299999999998</v>
      </c>
      <c r="G20" s="56">
        <f t="shared" si="1"/>
        <v>956.93</v>
      </c>
      <c r="H20" s="50" t="s">
        <v>285</v>
      </c>
      <c r="I20" s="27" t="s">
        <v>44</v>
      </c>
      <c r="J20" s="27">
        <v>972.19304890000001</v>
      </c>
      <c r="K20" s="39"/>
      <c r="L20" s="299"/>
      <c r="M20" s="300"/>
      <c r="N20" s="301"/>
      <c r="O20" s="301"/>
      <c r="P20" s="301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5">
      <c r="A21" s="312">
        <f t="shared" si="3"/>
        <v>19</v>
      </c>
      <c r="B21" s="309"/>
      <c r="C21" s="53" t="str">
        <f t="shared" si="2"/>
        <v>6UCADASA</v>
      </c>
      <c r="D21" s="53"/>
      <c r="E21" s="54">
        <f>+'CALCULO TARIFAS CC '!$S$45</f>
        <v>0.98429977792344414</v>
      </c>
      <c r="F21" s="55">
        <f t="shared" si="0"/>
        <v>357.55549999999999</v>
      </c>
      <c r="G21" s="56">
        <f t="shared" si="1"/>
        <v>351.94</v>
      </c>
      <c r="H21" s="50" t="s">
        <v>285</v>
      </c>
      <c r="I21" s="27" t="s">
        <v>459</v>
      </c>
      <c r="J21" s="27">
        <v>357.55549730000001</v>
      </c>
      <c r="K21" s="39"/>
      <c r="L21" s="299"/>
      <c r="M21" s="300"/>
      <c r="N21" s="301"/>
      <c r="O21" s="301"/>
      <c r="P21" s="301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5">
      <c r="A22" s="312">
        <f t="shared" si="3"/>
        <v>20</v>
      </c>
      <c r="B22" s="309"/>
      <c r="C22" s="53" t="str">
        <f t="shared" si="2"/>
        <v>6GCALDERA</v>
      </c>
      <c r="D22" s="53"/>
      <c r="E22" s="54">
        <f>+'CALCULO TARIFAS CC '!$S$45</f>
        <v>0.98429977792344414</v>
      </c>
      <c r="F22" s="55">
        <f t="shared" si="0"/>
        <v>1.8834</v>
      </c>
      <c r="G22" s="56">
        <f t="shared" si="1"/>
        <v>1.85</v>
      </c>
      <c r="H22" s="50" t="s">
        <v>285</v>
      </c>
      <c r="I22" s="27" t="s">
        <v>485</v>
      </c>
      <c r="J22" s="27">
        <v>1.8834139999999999</v>
      </c>
      <c r="K22" s="39"/>
      <c r="L22" s="299"/>
      <c r="M22" s="300"/>
      <c r="N22" s="301"/>
      <c r="O22" s="301"/>
      <c r="P22" s="301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5">
      <c r="A23" s="312">
        <f t="shared" si="3"/>
        <v>21</v>
      </c>
      <c r="B23" s="309"/>
      <c r="C23" s="53" t="str">
        <f t="shared" si="2"/>
        <v>6UCARCOC74</v>
      </c>
      <c r="D23" s="53"/>
      <c r="E23" s="54">
        <f>+'CALCULO TARIFAS CC '!$S$45</f>
        <v>0.98429977792344414</v>
      </c>
      <c r="F23" s="55">
        <f t="shared" si="0"/>
        <v>213.9402</v>
      </c>
      <c r="G23" s="56">
        <f t="shared" si="1"/>
        <v>210.58</v>
      </c>
      <c r="H23" s="50" t="s">
        <v>285</v>
      </c>
      <c r="I23" s="27" t="s">
        <v>695</v>
      </c>
      <c r="J23" s="27">
        <v>213.94021559999999</v>
      </c>
      <c r="K23" s="39"/>
      <c r="L23" s="299"/>
      <c r="M23" s="300"/>
      <c r="N23" s="301"/>
      <c r="O23" s="301"/>
      <c r="P23" s="301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5">
      <c r="A24" s="312">
        <f t="shared" si="3"/>
        <v>22</v>
      </c>
      <c r="B24" s="309"/>
      <c r="C24" s="53" t="str">
        <f t="shared" si="2"/>
        <v>6UCEMEX</v>
      </c>
      <c r="D24" s="53"/>
      <c r="E24" s="54">
        <f>+'CALCULO TARIFAS CC '!$S$45</f>
        <v>0.98429977792344414</v>
      </c>
      <c r="F24" s="55">
        <f t="shared" si="0"/>
        <v>9534.1209999999992</v>
      </c>
      <c r="G24" s="56">
        <f t="shared" si="1"/>
        <v>9384.43</v>
      </c>
      <c r="H24" s="50" t="s">
        <v>285</v>
      </c>
      <c r="I24" s="27" t="s">
        <v>45</v>
      </c>
      <c r="J24" s="27">
        <v>9534.1209873000007</v>
      </c>
      <c r="K24" s="39"/>
      <c r="L24" s="299"/>
      <c r="M24" s="300"/>
      <c r="N24" s="301"/>
      <c r="O24" s="301"/>
      <c r="P24" s="301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5">
      <c r="A25" s="312">
        <f t="shared" si="3"/>
        <v>23</v>
      </c>
      <c r="B25" s="309"/>
      <c r="C25" s="53" t="str">
        <f t="shared" si="2"/>
        <v>6UCEMINTER</v>
      </c>
      <c r="D25" s="53"/>
      <c r="E25" s="54">
        <f>+'CALCULO TARIFAS CC '!$S$45</f>
        <v>0.98429977792344414</v>
      </c>
      <c r="F25" s="55">
        <f t="shared" si="0"/>
        <v>532.04250000000002</v>
      </c>
      <c r="G25" s="56">
        <f t="shared" si="1"/>
        <v>523.69000000000005</v>
      </c>
      <c r="H25" s="50" t="s">
        <v>285</v>
      </c>
      <c r="I25" s="27" t="s">
        <v>46</v>
      </c>
      <c r="J25" s="27">
        <v>532.04252810000003</v>
      </c>
      <c r="K25" s="39"/>
      <c r="L25" s="299"/>
      <c r="M25" s="300"/>
      <c r="N25" s="301"/>
      <c r="O25" s="301"/>
      <c r="P25" s="301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5">
      <c r="A26" s="312">
        <f t="shared" si="3"/>
        <v>24</v>
      </c>
      <c r="B26" s="309"/>
      <c r="C26" s="53" t="str">
        <f t="shared" si="2"/>
        <v>6UCEMINTER2</v>
      </c>
      <c r="D26" s="53"/>
      <c r="E26" s="54">
        <f>+'CALCULO TARIFAS CC '!$S$45</f>
        <v>0.98429977792344414</v>
      </c>
      <c r="F26" s="55">
        <f t="shared" si="0"/>
        <v>342.63900000000001</v>
      </c>
      <c r="G26" s="56">
        <f t="shared" si="1"/>
        <v>337.26</v>
      </c>
      <c r="H26" s="50" t="s">
        <v>285</v>
      </c>
      <c r="I26" s="27" t="s">
        <v>460</v>
      </c>
      <c r="J26" s="27">
        <v>342.63900940000002</v>
      </c>
      <c r="K26" s="39"/>
      <c r="L26" s="299"/>
      <c r="M26" s="300"/>
      <c r="N26" s="301"/>
      <c r="O26" s="301"/>
      <c r="P26" s="301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5">
      <c r="A27" s="312">
        <f t="shared" si="3"/>
        <v>25</v>
      </c>
      <c r="B27" s="309"/>
      <c r="C27" s="53" t="str">
        <f t="shared" si="2"/>
        <v>6UCHSF</v>
      </c>
      <c r="D27" s="53"/>
      <c r="E27" s="54">
        <f>+'CALCULO TARIFAS CC '!$S$45</f>
        <v>0.98429977792344414</v>
      </c>
      <c r="F27" s="55">
        <f t="shared" si="0"/>
        <v>581.53369999999995</v>
      </c>
      <c r="G27" s="56">
        <f t="shared" si="1"/>
        <v>572.4</v>
      </c>
      <c r="H27" s="50" t="s">
        <v>285</v>
      </c>
      <c r="I27" s="27" t="s">
        <v>410</v>
      </c>
      <c r="J27" s="27">
        <v>581.5337025</v>
      </c>
      <c r="K27" s="39"/>
      <c r="L27" s="299"/>
      <c r="M27" s="300"/>
      <c r="N27" s="301"/>
      <c r="O27" s="301"/>
      <c r="P27" s="301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5">
      <c r="A28" s="312">
        <f t="shared" si="3"/>
        <v>26</v>
      </c>
      <c r="B28" s="309"/>
      <c r="C28" s="53" t="str">
        <f t="shared" si="2"/>
        <v>6UCINEMMALL</v>
      </c>
      <c r="D28" s="53"/>
      <c r="E28" s="54">
        <f>+'CALCULO TARIFAS CC '!$S$45</f>
        <v>0.98429977792344414</v>
      </c>
      <c r="F28" s="55">
        <f t="shared" si="0"/>
        <v>134.30520000000001</v>
      </c>
      <c r="G28" s="56">
        <f t="shared" si="1"/>
        <v>132.19999999999999</v>
      </c>
      <c r="H28" s="50" t="s">
        <v>285</v>
      </c>
      <c r="I28" s="27" t="s">
        <v>570</v>
      </c>
      <c r="J28" s="27">
        <v>134.3052228</v>
      </c>
      <c r="K28" s="39"/>
      <c r="L28" s="299"/>
      <c r="M28" s="300"/>
      <c r="N28" s="301"/>
      <c r="O28" s="301"/>
      <c r="P28" s="301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5">
      <c r="A29" s="312">
        <f t="shared" si="3"/>
        <v>27</v>
      </c>
      <c r="B29" s="309"/>
      <c r="C29" s="53" t="str">
        <f t="shared" si="2"/>
        <v>6UCINEPAND</v>
      </c>
      <c r="D29" s="53"/>
      <c r="E29" s="54">
        <f>+'CALCULO TARIFAS CC '!$S$45</f>
        <v>0.98429977792344414</v>
      </c>
      <c r="F29" s="55">
        <f t="shared" si="0"/>
        <v>82.779200000000003</v>
      </c>
      <c r="G29" s="56">
        <f t="shared" si="1"/>
        <v>81.48</v>
      </c>
      <c r="H29" s="50" t="s">
        <v>285</v>
      </c>
      <c r="I29" s="27" t="s">
        <v>571</v>
      </c>
      <c r="J29" s="27">
        <v>82.779155200000005</v>
      </c>
      <c r="K29" s="39"/>
      <c r="L29" s="299"/>
      <c r="M29" s="300"/>
      <c r="N29" s="301"/>
      <c r="O29" s="301"/>
      <c r="P29" s="301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12">
        <f t="shared" si="3"/>
        <v>28</v>
      </c>
      <c r="B30" s="309"/>
      <c r="C30" s="53" t="str">
        <f t="shared" si="2"/>
        <v>6UCINEPDOR</v>
      </c>
      <c r="D30" s="53"/>
      <c r="E30" s="54">
        <f>+'CALCULO TARIFAS CC '!$S$45</f>
        <v>0.98429977792344414</v>
      </c>
      <c r="F30" s="55">
        <f t="shared" si="0"/>
        <v>107.188</v>
      </c>
      <c r="G30" s="56">
        <f t="shared" si="1"/>
        <v>105.51</v>
      </c>
      <c r="H30" s="50" t="s">
        <v>285</v>
      </c>
      <c r="I30" s="27" t="s">
        <v>569</v>
      </c>
      <c r="J30" s="27">
        <v>107.1879837</v>
      </c>
      <c r="K30" s="39"/>
      <c r="L30" s="299"/>
      <c r="M30" s="300"/>
      <c r="N30" s="301"/>
      <c r="O30" s="301"/>
      <c r="P30" s="301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5">
      <c r="A31" s="312">
        <f t="shared" si="3"/>
        <v>29</v>
      </c>
      <c r="B31" s="309"/>
      <c r="C31" s="53" t="str">
        <f t="shared" si="2"/>
        <v>6UCINEPMP35</v>
      </c>
      <c r="D31" s="53"/>
      <c r="E31" s="54">
        <f>+'CALCULO TARIFAS CC '!$S$45</f>
        <v>0.98429977792344414</v>
      </c>
      <c r="F31" s="55">
        <f t="shared" si="0"/>
        <v>200.44380000000001</v>
      </c>
      <c r="G31" s="56">
        <f t="shared" si="1"/>
        <v>197.3</v>
      </c>
      <c r="H31" s="50" t="s">
        <v>285</v>
      </c>
      <c r="I31" s="27" t="s">
        <v>615</v>
      </c>
      <c r="J31" s="27">
        <v>200.44376869999999</v>
      </c>
      <c r="K31" s="39"/>
      <c r="L31" s="299"/>
      <c r="M31" s="300"/>
      <c r="N31" s="301"/>
      <c r="O31" s="301"/>
      <c r="P31" s="301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5">
      <c r="A32" s="312">
        <f t="shared" si="3"/>
        <v>30</v>
      </c>
      <c r="B32" s="309"/>
      <c r="C32" s="53" t="str">
        <f t="shared" si="2"/>
        <v>6UCINEPSOH81</v>
      </c>
      <c r="D32" s="53"/>
      <c r="E32" s="54">
        <f>+'CALCULO TARIFAS CC '!$S$45</f>
        <v>0.98429977792344414</v>
      </c>
      <c r="F32" s="55">
        <f t="shared" si="0"/>
        <v>53.4315</v>
      </c>
      <c r="G32" s="56">
        <f t="shared" si="1"/>
        <v>52.59</v>
      </c>
      <c r="H32" s="50" t="s">
        <v>285</v>
      </c>
      <c r="I32" s="27" t="s">
        <v>616</v>
      </c>
      <c r="J32" s="27">
        <v>53.4314599</v>
      </c>
      <c r="K32" s="39"/>
      <c r="L32" s="299"/>
      <c r="M32" s="300"/>
      <c r="N32" s="301"/>
      <c r="O32" s="301"/>
      <c r="P32" s="301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x14ac:dyDescent="0.25">
      <c r="A33" s="312">
        <f t="shared" si="3"/>
        <v>31</v>
      </c>
      <c r="B33" s="309"/>
      <c r="C33" s="53" t="str">
        <f t="shared" si="2"/>
        <v>6UCINEPWE54</v>
      </c>
      <c r="D33" s="53"/>
      <c r="E33" s="54">
        <f>+'CALCULO TARIFAS CC '!$S$45</f>
        <v>0.98429977792344414</v>
      </c>
      <c r="F33" s="55">
        <f t="shared" si="0"/>
        <v>112.75069999999999</v>
      </c>
      <c r="G33" s="56">
        <f t="shared" si="1"/>
        <v>110.98</v>
      </c>
      <c r="H33" s="50" t="s">
        <v>285</v>
      </c>
      <c r="I33" s="27" t="s">
        <v>617</v>
      </c>
      <c r="J33" s="27">
        <v>112.7506759</v>
      </c>
      <c r="K33" s="39"/>
      <c r="L33" s="299"/>
      <c r="M33" s="300"/>
      <c r="N33" s="301"/>
      <c r="O33" s="301"/>
      <c r="P33" s="301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x14ac:dyDescent="0.25">
      <c r="A34" s="312">
        <f t="shared" si="3"/>
        <v>32</v>
      </c>
      <c r="B34" s="309"/>
      <c r="C34" s="53" t="str">
        <f t="shared" si="2"/>
        <v>6UCLARO</v>
      </c>
      <c r="D34" s="53"/>
      <c r="E34" s="54">
        <f>+'CALCULO TARIFAS CC '!$S$45</f>
        <v>0.98429977792344414</v>
      </c>
      <c r="F34" s="55">
        <f t="shared" si="0"/>
        <v>226.42850000000001</v>
      </c>
      <c r="G34" s="56">
        <f t="shared" si="1"/>
        <v>222.87</v>
      </c>
      <c r="H34" s="50" t="s">
        <v>285</v>
      </c>
      <c r="I34" s="27" t="s">
        <v>47</v>
      </c>
      <c r="J34" s="27">
        <v>226.42845460000001</v>
      </c>
      <c r="K34" s="39"/>
      <c r="L34" s="299"/>
      <c r="M34" s="300"/>
      <c r="N34" s="301"/>
      <c r="O34" s="301"/>
      <c r="P34" s="301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x14ac:dyDescent="0.25">
      <c r="A35" s="312">
        <f t="shared" si="3"/>
        <v>33</v>
      </c>
      <c r="B35" s="309"/>
      <c r="C35" s="53" t="str">
        <f t="shared" si="2"/>
        <v>6UCMATTM</v>
      </c>
      <c r="D35" s="53"/>
      <c r="E35" s="54">
        <f>+'CALCULO TARIFAS CC '!$S$45</f>
        <v>0.98429977792344414</v>
      </c>
      <c r="F35" s="55">
        <f t="shared" ref="F35:F66" si="4">ROUND(J35,4)</f>
        <v>41.935000000000002</v>
      </c>
      <c r="G35" s="56">
        <f t="shared" si="1"/>
        <v>41.28</v>
      </c>
      <c r="H35" s="50" t="s">
        <v>285</v>
      </c>
      <c r="I35" s="27" t="s">
        <v>502</v>
      </c>
      <c r="J35" s="27">
        <v>41.934993599999999</v>
      </c>
      <c r="K35" s="39"/>
      <c r="L35" s="299"/>
      <c r="M35" s="300"/>
      <c r="N35" s="301"/>
      <c r="O35" s="301"/>
      <c r="P35" s="301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x14ac:dyDescent="0.25">
      <c r="A36" s="312">
        <f t="shared" si="3"/>
        <v>34</v>
      </c>
      <c r="B36" s="309"/>
      <c r="C36" s="53" t="str">
        <f t="shared" si="2"/>
        <v>6UCNAL</v>
      </c>
      <c r="D36" s="53"/>
      <c r="E36" s="54">
        <f>+'CALCULO TARIFAS CC '!$S$45</f>
        <v>0.98429977792344414</v>
      </c>
      <c r="F36" s="55">
        <f t="shared" si="4"/>
        <v>2393.2211000000002</v>
      </c>
      <c r="G36" s="56">
        <f t="shared" si="1"/>
        <v>2355.65</v>
      </c>
      <c r="H36" s="50" t="s">
        <v>285</v>
      </c>
      <c r="I36" s="27" t="s">
        <v>48</v>
      </c>
      <c r="J36" s="27">
        <v>2393.2211298000002</v>
      </c>
      <c r="K36" s="39"/>
      <c r="L36" s="299"/>
      <c r="M36" s="300"/>
      <c r="N36" s="301"/>
      <c r="O36" s="301"/>
      <c r="P36" s="301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x14ac:dyDescent="0.25">
      <c r="A37" s="312">
        <f t="shared" si="3"/>
        <v>35</v>
      </c>
      <c r="B37" s="309"/>
      <c r="C37" s="53" t="str">
        <f t="shared" si="2"/>
        <v>6UCONDA12OC</v>
      </c>
      <c r="D37" s="53"/>
      <c r="E37" s="54">
        <f>+'CALCULO TARIFAS CC '!$S$45</f>
        <v>0.98429977792344414</v>
      </c>
      <c r="F37" s="55">
        <f t="shared" si="4"/>
        <v>693.29660000000001</v>
      </c>
      <c r="G37" s="56">
        <f t="shared" si="1"/>
        <v>682.41</v>
      </c>
      <c r="H37" s="50" t="s">
        <v>285</v>
      </c>
      <c r="I37" s="27" t="s">
        <v>366</v>
      </c>
      <c r="J37" s="27">
        <v>693.29662810000002</v>
      </c>
      <c r="K37" s="39"/>
      <c r="L37" s="299"/>
      <c r="M37" s="300"/>
      <c r="N37" s="301"/>
      <c r="O37" s="301"/>
      <c r="P37" s="301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12">
        <f t="shared" si="3"/>
        <v>36</v>
      </c>
      <c r="B38" s="309"/>
      <c r="C38" s="53" t="str">
        <f t="shared" si="2"/>
        <v>6UCONTRAL</v>
      </c>
      <c r="D38" s="53"/>
      <c r="E38" s="54">
        <f>+'CALCULO TARIFAS CC '!$S$45</f>
        <v>0.98429977792344414</v>
      </c>
      <c r="F38" s="55">
        <f t="shared" si="4"/>
        <v>210.42089999999999</v>
      </c>
      <c r="G38" s="56">
        <f t="shared" si="1"/>
        <v>207.12</v>
      </c>
      <c r="H38" s="50" t="s">
        <v>285</v>
      </c>
      <c r="I38" s="27" t="s">
        <v>49</v>
      </c>
      <c r="J38" s="27">
        <v>210.42091210000001</v>
      </c>
      <c r="K38" s="39"/>
      <c r="L38" s="299"/>
      <c r="M38" s="300"/>
      <c r="N38" s="301"/>
      <c r="O38" s="301"/>
      <c r="P38" s="301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x14ac:dyDescent="0.25">
      <c r="A39" s="312">
        <f t="shared" si="3"/>
        <v>37</v>
      </c>
      <c r="B39" s="309"/>
      <c r="C39" s="53" t="str">
        <f t="shared" si="2"/>
        <v>6UCORUNA13</v>
      </c>
      <c r="D39" s="53"/>
      <c r="E39" s="54">
        <f>+'CALCULO TARIFAS CC '!$S$45</f>
        <v>0.98429977792344414</v>
      </c>
      <c r="F39" s="55">
        <f t="shared" si="4"/>
        <v>80.960700000000003</v>
      </c>
      <c r="G39" s="56">
        <f t="shared" si="1"/>
        <v>79.69</v>
      </c>
      <c r="H39" s="50" t="s">
        <v>285</v>
      </c>
      <c r="I39" s="27" t="s">
        <v>618</v>
      </c>
      <c r="J39" s="27">
        <v>80.960667299999997</v>
      </c>
      <c r="K39" s="39"/>
      <c r="L39" s="299"/>
      <c r="M39" s="300"/>
      <c r="N39" s="301"/>
      <c r="O39" s="301"/>
      <c r="P39" s="301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A40" s="312">
        <f t="shared" si="3"/>
        <v>38</v>
      </c>
      <c r="B40" s="309"/>
      <c r="C40" s="53" t="str">
        <f t="shared" si="2"/>
        <v>6UCPBCEN31</v>
      </c>
      <c r="D40" s="53"/>
      <c r="E40" s="54">
        <f>+'CALCULO TARIFAS CC '!$S$45</f>
        <v>0.98429977792344414</v>
      </c>
      <c r="F40" s="55">
        <f t="shared" si="4"/>
        <v>106.49469999999999</v>
      </c>
      <c r="G40" s="56">
        <f t="shared" si="1"/>
        <v>104.82</v>
      </c>
      <c r="H40" s="50" t="s">
        <v>285</v>
      </c>
      <c r="I40" s="27" t="s">
        <v>619</v>
      </c>
      <c r="J40" s="27">
        <v>106.4946534</v>
      </c>
      <c r="K40" s="39"/>
      <c r="L40" s="299"/>
      <c r="M40" s="300"/>
      <c r="N40" s="301"/>
      <c r="O40" s="301"/>
      <c r="P40" s="301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x14ac:dyDescent="0.25">
      <c r="A41" s="312">
        <f t="shared" si="3"/>
        <v>39</v>
      </c>
      <c r="B41" s="309"/>
      <c r="C41" s="53" t="str">
        <f t="shared" si="2"/>
        <v>6UCROWPMA</v>
      </c>
      <c r="D41" s="53"/>
      <c r="E41" s="54">
        <f>+'CALCULO TARIFAS CC '!$S$45</f>
        <v>0.98429977792344414</v>
      </c>
      <c r="F41" s="55">
        <f t="shared" si="4"/>
        <v>205.81909999999999</v>
      </c>
      <c r="G41" s="56">
        <f t="shared" si="1"/>
        <v>202.59</v>
      </c>
      <c r="H41" s="50" t="s">
        <v>285</v>
      </c>
      <c r="I41" s="27" t="s">
        <v>516</v>
      </c>
      <c r="J41" s="27">
        <v>205.81905889999999</v>
      </c>
      <c r="K41" s="39"/>
      <c r="L41" s="299"/>
      <c r="M41" s="300"/>
      <c r="N41" s="301"/>
      <c r="O41" s="301"/>
      <c r="P41" s="301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x14ac:dyDescent="0.25">
      <c r="A42" s="312">
        <f t="shared" si="3"/>
        <v>40</v>
      </c>
      <c r="B42" s="309"/>
      <c r="C42" s="53" t="str">
        <f t="shared" si="2"/>
        <v>6UCSS</v>
      </c>
      <c r="D42" s="53"/>
      <c r="E42" s="54">
        <f>+'CALCULO TARIFAS CC '!$S$45</f>
        <v>0.98429977792344414</v>
      </c>
      <c r="F42" s="55">
        <f t="shared" si="4"/>
        <v>1813.66</v>
      </c>
      <c r="G42" s="56">
        <f t="shared" si="1"/>
        <v>1785.19</v>
      </c>
      <c r="H42" s="50" t="s">
        <v>285</v>
      </c>
      <c r="I42" s="27" t="s">
        <v>50</v>
      </c>
      <c r="J42" s="27">
        <v>1813.6600323</v>
      </c>
      <c r="K42" s="39"/>
      <c r="L42" s="299"/>
      <c r="M42" s="300"/>
      <c r="N42" s="301"/>
      <c r="O42" s="301"/>
      <c r="P42" s="301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x14ac:dyDescent="0.25">
      <c r="A43" s="312">
        <f t="shared" si="3"/>
        <v>41</v>
      </c>
      <c r="B43" s="309"/>
      <c r="C43" s="53" t="str">
        <f t="shared" si="2"/>
        <v>6UCUNION20</v>
      </c>
      <c r="D43" s="53"/>
      <c r="E43" s="54">
        <f>+'CALCULO TARIFAS CC '!$S$45</f>
        <v>0.98429977792344414</v>
      </c>
      <c r="F43" s="55">
        <f t="shared" si="4"/>
        <v>416.77699999999999</v>
      </c>
      <c r="G43" s="56">
        <f t="shared" si="1"/>
        <v>410.23</v>
      </c>
      <c r="H43" s="50" t="s">
        <v>285</v>
      </c>
      <c r="I43" s="27" t="s">
        <v>620</v>
      </c>
      <c r="J43" s="27">
        <v>416.77702269999997</v>
      </c>
      <c r="K43" s="39"/>
      <c r="L43" s="299"/>
      <c r="M43" s="300"/>
      <c r="N43" s="301"/>
      <c r="O43" s="301"/>
      <c r="P43" s="301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x14ac:dyDescent="0.25">
      <c r="A44" s="312">
        <f t="shared" si="3"/>
        <v>42</v>
      </c>
      <c r="B44" s="309"/>
      <c r="C44" s="53" t="str">
        <f t="shared" si="2"/>
        <v>6UCWAGUAS</v>
      </c>
      <c r="D44" s="53"/>
      <c r="E44" s="54">
        <f>+'CALCULO TARIFAS CC '!$S$45</f>
        <v>0.98429977792344414</v>
      </c>
      <c r="F44" s="55">
        <f t="shared" si="4"/>
        <v>94.169300000000007</v>
      </c>
      <c r="G44" s="56">
        <f t="shared" si="1"/>
        <v>92.69</v>
      </c>
      <c r="H44" s="50" t="s">
        <v>285</v>
      </c>
      <c r="I44" s="27" t="s">
        <v>430</v>
      </c>
      <c r="J44" s="27">
        <v>94.169251399999993</v>
      </c>
      <c r="K44" s="39"/>
      <c r="L44" s="299"/>
      <c r="M44" s="300"/>
      <c r="N44" s="301"/>
      <c r="O44" s="301"/>
      <c r="P44" s="301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x14ac:dyDescent="0.25">
      <c r="A45" s="312">
        <f t="shared" si="3"/>
        <v>43</v>
      </c>
      <c r="B45" s="309"/>
      <c r="C45" s="53" t="str">
        <f t="shared" si="2"/>
        <v>6UCWBAL</v>
      </c>
      <c r="D45" s="53"/>
      <c r="E45" s="54">
        <f>+'CALCULO TARIFAS CC '!$S$45</f>
        <v>0.98429977792344414</v>
      </c>
      <c r="F45" s="55">
        <f t="shared" si="4"/>
        <v>282.49509999999998</v>
      </c>
      <c r="G45" s="56">
        <f t="shared" si="1"/>
        <v>278.06</v>
      </c>
      <c r="H45" s="50" t="s">
        <v>285</v>
      </c>
      <c r="I45" s="27" t="s">
        <v>424</v>
      </c>
      <c r="J45" s="27">
        <v>282.49513459999997</v>
      </c>
      <c r="K45" s="39"/>
      <c r="L45" s="299"/>
      <c r="M45" s="300"/>
      <c r="N45" s="301"/>
      <c r="O45" s="301"/>
      <c r="P45" s="301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x14ac:dyDescent="0.25">
      <c r="A46" s="312">
        <f t="shared" si="3"/>
        <v>44</v>
      </c>
      <c r="B46" s="309"/>
      <c r="C46" s="53" t="str">
        <f t="shared" si="2"/>
        <v>6UCWCOLON</v>
      </c>
      <c r="D46" s="53"/>
      <c r="E46" s="54">
        <f>+'CALCULO TARIFAS CC '!$S$45</f>
        <v>0.98429977792344414</v>
      </c>
      <c r="F46" s="55">
        <f t="shared" si="4"/>
        <v>91.039699999999996</v>
      </c>
      <c r="G46" s="56">
        <f t="shared" si="1"/>
        <v>89.61</v>
      </c>
      <c r="H46" s="50" t="s">
        <v>285</v>
      </c>
      <c r="I46" s="27" t="s">
        <v>450</v>
      </c>
      <c r="J46" s="27">
        <v>91.039681099999996</v>
      </c>
      <c r="K46" s="39"/>
      <c r="L46" s="299"/>
      <c r="M46" s="300"/>
      <c r="N46" s="301"/>
      <c r="O46" s="301"/>
      <c r="P46" s="301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x14ac:dyDescent="0.25">
      <c r="A47" s="312">
        <f t="shared" si="3"/>
        <v>45</v>
      </c>
      <c r="B47" s="309"/>
      <c r="C47" s="53" t="str">
        <f t="shared" si="2"/>
        <v>6UCWDAVID</v>
      </c>
      <c r="D47" s="53"/>
      <c r="E47" s="54">
        <f>+'CALCULO TARIFAS CC '!$S$45</f>
        <v>0.98429977792344414</v>
      </c>
      <c r="F47" s="55">
        <f t="shared" si="4"/>
        <v>118.2638</v>
      </c>
      <c r="G47" s="56">
        <f t="shared" si="1"/>
        <v>116.41</v>
      </c>
      <c r="H47" s="50" t="s">
        <v>285</v>
      </c>
      <c r="I47" s="27" t="s">
        <v>432</v>
      </c>
      <c r="J47" s="27">
        <v>118.263811</v>
      </c>
      <c r="K47" s="39"/>
      <c r="L47" s="299"/>
      <c r="M47" s="300"/>
      <c r="N47" s="301"/>
      <c r="O47" s="301"/>
      <c r="P47" s="301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x14ac:dyDescent="0.25">
      <c r="A48" s="312">
        <f t="shared" si="3"/>
        <v>46</v>
      </c>
      <c r="B48" s="309"/>
      <c r="C48" s="53" t="str">
        <f t="shared" si="2"/>
        <v>6UCWDORADO</v>
      </c>
      <c r="D48" s="53"/>
      <c r="E48" s="54">
        <f>+'CALCULO TARIFAS CC '!$S$45</f>
        <v>0.98429977792344414</v>
      </c>
      <c r="F48" s="55">
        <f t="shared" si="4"/>
        <v>159.9203</v>
      </c>
      <c r="G48" s="56">
        <f t="shared" si="1"/>
        <v>157.41</v>
      </c>
      <c r="H48" s="50" t="s">
        <v>285</v>
      </c>
      <c r="I48" s="27" t="s">
        <v>447</v>
      </c>
      <c r="J48" s="27">
        <v>159.9203182</v>
      </c>
      <c r="K48" s="39"/>
      <c r="L48" s="299"/>
      <c r="M48" s="300"/>
      <c r="N48" s="301"/>
      <c r="O48" s="301"/>
      <c r="P48" s="301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x14ac:dyDescent="0.25">
      <c r="A49" s="312">
        <f t="shared" si="3"/>
        <v>47</v>
      </c>
      <c r="B49" s="309"/>
      <c r="C49" s="53" t="str">
        <f t="shared" si="2"/>
        <v>6UCWEXP</v>
      </c>
      <c r="D49" s="53"/>
      <c r="E49" s="54">
        <f>+'CALCULO TARIFAS CC '!$S$45</f>
        <v>0.98429977792344414</v>
      </c>
      <c r="F49" s="55">
        <f t="shared" si="4"/>
        <v>83.2303</v>
      </c>
      <c r="G49" s="56">
        <f t="shared" si="1"/>
        <v>81.92</v>
      </c>
      <c r="H49" s="50" t="s">
        <v>285</v>
      </c>
      <c r="I49" s="27" t="s">
        <v>431</v>
      </c>
      <c r="J49" s="27">
        <v>83.230268499999994</v>
      </c>
      <c r="K49" s="39"/>
      <c r="L49" s="299"/>
      <c r="M49" s="300"/>
      <c r="N49" s="301"/>
      <c r="O49" s="301"/>
      <c r="P49" s="301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x14ac:dyDescent="0.25">
      <c r="A50" s="312">
        <f t="shared" si="3"/>
        <v>48</v>
      </c>
      <c r="B50" s="309"/>
      <c r="C50" s="53" t="str">
        <f t="shared" si="2"/>
        <v>6UCWHOPA</v>
      </c>
      <c r="D50" s="53"/>
      <c r="E50" s="54">
        <f>+'CALCULO TARIFAS CC '!$S$45</f>
        <v>0.98429977792344414</v>
      </c>
      <c r="F50" s="55">
        <f t="shared" si="4"/>
        <v>273.86610000000002</v>
      </c>
      <c r="G50" s="56">
        <f t="shared" si="1"/>
        <v>269.57</v>
      </c>
      <c r="H50" s="50" t="s">
        <v>285</v>
      </c>
      <c r="I50" s="27" t="s">
        <v>454</v>
      </c>
      <c r="J50" s="27">
        <v>273.86612000000002</v>
      </c>
      <c r="K50" s="39"/>
      <c r="L50" s="299"/>
      <c r="M50" s="300"/>
      <c r="N50" s="301"/>
      <c r="O50" s="301"/>
      <c r="P50" s="301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x14ac:dyDescent="0.25">
      <c r="A51" s="312">
        <f t="shared" si="3"/>
        <v>49</v>
      </c>
      <c r="B51" s="309"/>
      <c r="C51" s="53" t="str">
        <f t="shared" si="2"/>
        <v>6UCWHOPB</v>
      </c>
      <c r="D51" s="53"/>
      <c r="E51" s="54">
        <f>+'CALCULO TARIFAS CC '!$S$45</f>
        <v>0.98429977792344414</v>
      </c>
      <c r="F51" s="55">
        <f t="shared" si="4"/>
        <v>284.06380000000001</v>
      </c>
      <c r="G51" s="56">
        <f t="shared" si="1"/>
        <v>279.60000000000002</v>
      </c>
      <c r="H51" s="50" t="s">
        <v>285</v>
      </c>
      <c r="I51" s="27" t="s">
        <v>425</v>
      </c>
      <c r="J51" s="27">
        <v>284.06382539999998</v>
      </c>
      <c r="K51" s="39"/>
      <c r="L51" s="299"/>
      <c r="M51" s="300"/>
      <c r="N51" s="301"/>
      <c r="O51" s="301"/>
      <c r="P51" s="301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x14ac:dyDescent="0.25">
      <c r="A52" s="312">
        <f t="shared" si="3"/>
        <v>50</v>
      </c>
      <c r="B52" s="309"/>
      <c r="C52" s="53" t="str">
        <f t="shared" si="2"/>
        <v>6UCWJFRA1</v>
      </c>
      <c r="D52" s="53"/>
      <c r="E52" s="54">
        <f>+'CALCULO TARIFAS CC '!$S$45</f>
        <v>0.98429977792344414</v>
      </c>
      <c r="F52" s="55">
        <f t="shared" si="4"/>
        <v>266.9051</v>
      </c>
      <c r="G52" s="56">
        <f t="shared" si="1"/>
        <v>262.70999999999998</v>
      </c>
      <c r="H52" s="50" t="s">
        <v>285</v>
      </c>
      <c r="I52" s="27" t="s">
        <v>452</v>
      </c>
      <c r="J52" s="27">
        <v>266.90510030000002</v>
      </c>
      <c r="K52" s="39"/>
      <c r="L52" s="299"/>
      <c r="M52" s="300"/>
      <c r="N52" s="301"/>
      <c r="O52" s="301"/>
      <c r="P52" s="301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x14ac:dyDescent="0.25">
      <c r="A53" s="312">
        <f t="shared" si="3"/>
        <v>51</v>
      </c>
      <c r="B53" s="309"/>
      <c r="C53" s="53" t="str">
        <f t="shared" si="2"/>
        <v>6UCWJFRA2</v>
      </c>
      <c r="D53" s="53"/>
      <c r="E53" s="54">
        <f>+'CALCULO TARIFAS CC '!$S$45</f>
        <v>0.98429977792344414</v>
      </c>
      <c r="F53" s="55">
        <f t="shared" si="4"/>
        <v>375.30349999999999</v>
      </c>
      <c r="G53" s="56">
        <f t="shared" si="1"/>
        <v>369.41</v>
      </c>
      <c r="H53" s="50" t="s">
        <v>285</v>
      </c>
      <c r="I53" s="27" t="s">
        <v>426</v>
      </c>
      <c r="J53" s="27">
        <v>375.30349990000002</v>
      </c>
      <c r="K53" s="39"/>
      <c r="L53" s="299"/>
      <c r="M53" s="300"/>
      <c r="N53" s="301"/>
      <c r="O53" s="301"/>
      <c r="P53" s="301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x14ac:dyDescent="0.25">
      <c r="A54" s="312">
        <f t="shared" si="3"/>
        <v>52</v>
      </c>
      <c r="B54" s="309"/>
      <c r="C54" s="53" t="str">
        <f t="shared" si="2"/>
        <v>6UCWRABAJO</v>
      </c>
      <c r="D54" s="53"/>
      <c r="E54" s="54">
        <f>+'CALCULO TARIFAS CC '!$S$45</f>
        <v>0.98429977792344414</v>
      </c>
      <c r="F54" s="55">
        <f t="shared" si="4"/>
        <v>202.53530000000001</v>
      </c>
      <c r="G54" s="56">
        <f t="shared" si="1"/>
        <v>199.36</v>
      </c>
      <c r="H54" s="50" t="s">
        <v>285</v>
      </c>
      <c r="I54" s="27" t="s">
        <v>448</v>
      </c>
      <c r="J54" s="27">
        <v>202.53534730000001</v>
      </c>
      <c r="K54" s="39"/>
      <c r="L54" s="299"/>
      <c r="M54" s="300"/>
      <c r="N54" s="301"/>
      <c r="O54" s="301"/>
      <c r="P54" s="301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x14ac:dyDescent="0.25">
      <c r="A55" s="312">
        <f t="shared" si="3"/>
        <v>53</v>
      </c>
      <c r="B55" s="309"/>
      <c r="C55" s="53" t="str">
        <f t="shared" si="2"/>
        <v>6UCWSFRAN</v>
      </c>
      <c r="D55" s="53"/>
      <c r="E55" s="54">
        <f>+'CALCULO TARIFAS CC '!$S$45</f>
        <v>0.98429977792344414</v>
      </c>
      <c r="F55" s="55">
        <f t="shared" si="4"/>
        <v>180.3681</v>
      </c>
      <c r="G55" s="56">
        <f t="shared" si="1"/>
        <v>177.54</v>
      </c>
      <c r="H55" s="50" t="s">
        <v>285</v>
      </c>
      <c r="I55" s="27" t="s">
        <v>453</v>
      </c>
      <c r="J55" s="27">
        <v>180.3681177</v>
      </c>
      <c r="K55" s="39"/>
      <c r="L55" s="299"/>
      <c r="M55" s="300"/>
      <c r="N55" s="301"/>
      <c r="O55" s="301"/>
      <c r="P55" s="301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x14ac:dyDescent="0.25">
      <c r="A56" s="312">
        <f t="shared" si="3"/>
        <v>54</v>
      </c>
      <c r="B56" s="309"/>
      <c r="C56" s="53" t="str">
        <f t="shared" si="2"/>
        <v>6UCWSCLARA</v>
      </c>
      <c r="D56" s="53"/>
      <c r="E56" s="54">
        <f>+'CALCULO TARIFAS CC '!$S$45</f>
        <v>0.98429977792344414</v>
      </c>
      <c r="F56" s="55">
        <f t="shared" si="4"/>
        <v>196.69829999999999</v>
      </c>
      <c r="G56" s="56">
        <f t="shared" si="1"/>
        <v>193.61</v>
      </c>
      <c r="H56" s="50" t="s">
        <v>285</v>
      </c>
      <c r="I56" s="27" t="s">
        <v>421</v>
      </c>
      <c r="J56" s="27">
        <v>196.6982745</v>
      </c>
      <c r="K56" s="39"/>
      <c r="L56" s="299"/>
      <c r="M56" s="300"/>
      <c r="N56" s="301"/>
      <c r="O56" s="301"/>
      <c r="P56" s="301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x14ac:dyDescent="0.25">
      <c r="A57" s="312">
        <f t="shared" si="3"/>
        <v>55</v>
      </c>
      <c r="B57" s="309"/>
      <c r="C57" s="53" t="str">
        <f t="shared" si="2"/>
        <v>6UC_CONT</v>
      </c>
      <c r="D57" s="53"/>
      <c r="E57" s="54">
        <f>+'CALCULO TARIFAS CC '!$S$45</f>
        <v>0.98429977792344414</v>
      </c>
      <c r="F57" s="55">
        <f t="shared" si="4"/>
        <v>140.82300000000001</v>
      </c>
      <c r="G57" s="56">
        <f t="shared" si="1"/>
        <v>138.61000000000001</v>
      </c>
      <c r="H57" s="50" t="s">
        <v>285</v>
      </c>
      <c r="I57" s="27" t="s">
        <v>383</v>
      </c>
      <c r="J57" s="27">
        <v>140.82300330000001</v>
      </c>
      <c r="K57" s="39"/>
      <c r="L57" s="299"/>
      <c r="M57" s="300"/>
      <c r="N57" s="301"/>
      <c r="O57" s="301"/>
      <c r="P57" s="301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x14ac:dyDescent="0.25">
      <c r="A58" s="312">
        <f t="shared" si="3"/>
        <v>56</v>
      </c>
      <c r="B58" s="309"/>
      <c r="C58" s="53" t="str">
        <f t="shared" si="2"/>
        <v>6UC_GUAY</v>
      </c>
      <c r="D58" s="53"/>
      <c r="E58" s="54">
        <f>+'CALCULO TARIFAS CC '!$S$45</f>
        <v>0.98429977792344414</v>
      </c>
      <c r="F58" s="55">
        <f t="shared" si="4"/>
        <v>90.718199999999996</v>
      </c>
      <c r="G58" s="56">
        <f t="shared" si="1"/>
        <v>89.29</v>
      </c>
      <c r="H58" s="50" t="s">
        <v>285</v>
      </c>
      <c r="I58" s="27" t="s">
        <v>384</v>
      </c>
      <c r="J58" s="27">
        <v>90.718175299999999</v>
      </c>
      <c r="K58" s="39"/>
      <c r="L58" s="299"/>
      <c r="M58" s="300"/>
      <c r="N58" s="301"/>
      <c r="O58" s="301"/>
      <c r="P58" s="301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x14ac:dyDescent="0.25">
      <c r="A59" s="312">
        <f t="shared" si="3"/>
        <v>57</v>
      </c>
      <c r="B59" s="309"/>
      <c r="C59" s="53" t="str">
        <f t="shared" si="2"/>
        <v>6UC_HPMA</v>
      </c>
      <c r="D59" s="53"/>
      <c r="E59" s="54">
        <f>+'CALCULO TARIFAS CC '!$S$45</f>
        <v>0.98429977792344414</v>
      </c>
      <c r="F59" s="55">
        <f t="shared" si="4"/>
        <v>252.89709999999999</v>
      </c>
      <c r="G59" s="56">
        <f t="shared" si="1"/>
        <v>248.93</v>
      </c>
      <c r="H59" s="50" t="s">
        <v>285</v>
      </c>
      <c r="I59" s="27" t="s">
        <v>385</v>
      </c>
      <c r="J59" s="27">
        <v>252.89712829999999</v>
      </c>
      <c r="K59" s="39"/>
      <c r="L59" s="299"/>
      <c r="M59" s="300"/>
      <c r="N59" s="301"/>
      <c r="O59" s="301"/>
      <c r="P59" s="301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x14ac:dyDescent="0.25">
      <c r="A60" s="312">
        <f t="shared" si="3"/>
        <v>58</v>
      </c>
      <c r="B60" s="309"/>
      <c r="C60" s="53" t="str">
        <f t="shared" si="2"/>
        <v>6UC_SHERAT</v>
      </c>
      <c r="D60" s="53"/>
      <c r="E60" s="54">
        <f>+'CALCULO TARIFAS CC '!$S$45</f>
        <v>0.98429977792344414</v>
      </c>
      <c r="F60" s="55">
        <f t="shared" si="4"/>
        <v>177.9718</v>
      </c>
      <c r="G60" s="56">
        <f t="shared" si="1"/>
        <v>175.18</v>
      </c>
      <c r="H60" s="50" t="s">
        <v>285</v>
      </c>
      <c r="I60" s="27" t="s">
        <v>429</v>
      </c>
      <c r="J60" s="27">
        <v>177.97178349999999</v>
      </c>
      <c r="K60" s="39"/>
      <c r="L60" s="299"/>
      <c r="M60" s="300"/>
      <c r="N60" s="301"/>
      <c r="O60" s="301"/>
      <c r="P60" s="301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5">
      <c r="A61" s="312">
        <f t="shared" si="3"/>
        <v>59</v>
      </c>
      <c r="B61" s="309"/>
      <c r="C61" s="53" t="str">
        <f t="shared" si="2"/>
        <v>6UC_SOLLOY</v>
      </c>
      <c r="D61" s="53"/>
      <c r="E61" s="54">
        <f>+'CALCULO TARIFAS CC '!$S$45</f>
        <v>0.98429977792344414</v>
      </c>
      <c r="F61" s="55">
        <f t="shared" si="4"/>
        <v>140.9659</v>
      </c>
      <c r="G61" s="56">
        <f t="shared" si="1"/>
        <v>138.75</v>
      </c>
      <c r="H61" s="50" t="s">
        <v>285</v>
      </c>
      <c r="I61" s="27" t="s">
        <v>386</v>
      </c>
      <c r="J61" s="27">
        <v>140.9659351</v>
      </c>
      <c r="K61" s="39"/>
      <c r="L61" s="299"/>
      <c r="M61" s="300"/>
      <c r="N61" s="301"/>
      <c r="O61" s="301"/>
      <c r="P61" s="301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x14ac:dyDescent="0.25">
      <c r="A62" s="312">
        <f t="shared" si="3"/>
        <v>60</v>
      </c>
      <c r="B62" s="309"/>
      <c r="C62" s="53" t="str">
        <f t="shared" si="2"/>
        <v>6GCELSIAALT</v>
      </c>
      <c r="D62" s="53"/>
      <c r="E62" s="54">
        <f>+'CALCULO TARIFAS CC '!$S$45</f>
        <v>0.98429977792344414</v>
      </c>
      <c r="F62" s="55">
        <f t="shared" si="4"/>
        <v>246.9502</v>
      </c>
      <c r="G62" s="56">
        <f t="shared" si="1"/>
        <v>243.07</v>
      </c>
      <c r="H62" s="50" t="s">
        <v>285</v>
      </c>
      <c r="I62" s="27" t="s">
        <v>27</v>
      </c>
      <c r="J62" s="27">
        <v>246.95018540000001</v>
      </c>
      <c r="K62" s="39"/>
      <c r="L62" s="299"/>
      <c r="M62" s="300"/>
      <c r="N62" s="301"/>
      <c r="O62" s="301"/>
      <c r="P62" s="301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x14ac:dyDescent="0.25">
      <c r="A63" s="312">
        <f t="shared" si="3"/>
        <v>61</v>
      </c>
      <c r="B63" s="309"/>
      <c r="C63" s="53" t="str">
        <f t="shared" si="2"/>
        <v>6GCELSIABLM</v>
      </c>
      <c r="D63" s="53"/>
      <c r="E63" s="54">
        <f>+'CALCULO TARIFAS CC '!$S$45</f>
        <v>0.98429977792344414</v>
      </c>
      <c r="F63" s="55">
        <f t="shared" si="4"/>
        <v>335.25240000000002</v>
      </c>
      <c r="G63" s="56">
        <f t="shared" si="1"/>
        <v>329.99</v>
      </c>
      <c r="H63" s="50" t="s">
        <v>285</v>
      </c>
      <c r="I63" s="27" t="s">
        <v>28</v>
      </c>
      <c r="J63" s="27">
        <v>335.25241729999999</v>
      </c>
      <c r="K63" s="39"/>
      <c r="L63" s="299"/>
      <c r="M63" s="300"/>
      <c r="N63" s="301"/>
      <c r="O63" s="301"/>
      <c r="P63" s="301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x14ac:dyDescent="0.25">
      <c r="A64" s="312">
        <f t="shared" si="3"/>
        <v>62</v>
      </c>
      <c r="B64" s="309"/>
      <c r="C64" s="53" t="str">
        <f t="shared" si="2"/>
        <v>6GCELSIABON</v>
      </c>
      <c r="D64" s="53"/>
      <c r="E64" s="54">
        <f>+'CALCULO TARIFAS CC '!$S$45</f>
        <v>0.98429977792344414</v>
      </c>
      <c r="F64" s="55">
        <f t="shared" si="4"/>
        <v>4.4413999999999998</v>
      </c>
      <c r="G64" s="56">
        <f t="shared" si="1"/>
        <v>4.37</v>
      </c>
      <c r="H64" s="50" t="s">
        <v>285</v>
      </c>
      <c r="I64" s="27" t="s">
        <v>408</v>
      </c>
      <c r="J64" s="27">
        <v>4.4413852</v>
      </c>
      <c r="K64" s="39"/>
      <c r="L64" s="299"/>
      <c r="M64" s="300"/>
      <c r="N64" s="301"/>
      <c r="O64" s="301"/>
      <c r="P64" s="301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5">
      <c r="A65" s="312">
        <f t="shared" si="3"/>
        <v>63</v>
      </c>
      <c r="B65" s="309"/>
      <c r="C65" s="53" t="str">
        <f t="shared" si="2"/>
        <v>6UDELYRBVTA</v>
      </c>
      <c r="D65" s="53"/>
      <c r="E65" s="54">
        <f>+'CALCULO TARIFAS CC '!$S$45</f>
        <v>0.98429977792344414</v>
      </c>
      <c r="F65" s="55">
        <f t="shared" si="4"/>
        <v>67.805899999999994</v>
      </c>
      <c r="G65" s="56">
        <f t="shared" si="1"/>
        <v>66.739999999999995</v>
      </c>
      <c r="H65" s="50" t="s">
        <v>285</v>
      </c>
      <c r="I65" s="27" t="s">
        <v>479</v>
      </c>
      <c r="J65" s="27">
        <v>67.805867399999997</v>
      </c>
      <c r="K65" s="39"/>
      <c r="L65" s="299"/>
      <c r="M65" s="300"/>
      <c r="N65" s="301"/>
      <c r="O65" s="301"/>
      <c r="P65" s="301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x14ac:dyDescent="0.25">
      <c r="A66" s="312">
        <f t="shared" si="3"/>
        <v>64</v>
      </c>
      <c r="B66" s="309"/>
      <c r="C66" s="53" t="str">
        <f t="shared" si="2"/>
        <v>6GDESHIDCORP</v>
      </c>
      <c r="D66" s="53"/>
      <c r="E66" s="54">
        <f>+'CALCULO TARIFAS CC '!$S$45</f>
        <v>0.98429977792344414</v>
      </c>
      <c r="F66" s="55">
        <f t="shared" si="4"/>
        <v>34.088000000000001</v>
      </c>
      <c r="G66" s="56">
        <f t="shared" si="1"/>
        <v>33.549999999999997</v>
      </c>
      <c r="H66" s="50" t="s">
        <v>285</v>
      </c>
      <c r="I66" s="27" t="s">
        <v>586</v>
      </c>
      <c r="J66" s="27">
        <v>34.088000000000001</v>
      </c>
      <c r="K66" s="39"/>
      <c r="L66" s="299"/>
      <c r="M66" s="300"/>
      <c r="N66" s="301"/>
      <c r="O66" s="301"/>
      <c r="P66" s="301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x14ac:dyDescent="0.25">
      <c r="A67" s="312">
        <f t="shared" si="3"/>
        <v>65</v>
      </c>
      <c r="B67" s="309"/>
      <c r="C67" s="53" t="str">
        <f t="shared" si="2"/>
        <v>6UDIGIPMA</v>
      </c>
      <c r="D67" s="53"/>
      <c r="E67" s="54">
        <f>+'CALCULO TARIFAS CC '!$S$45</f>
        <v>0.98429977792344414</v>
      </c>
      <c r="F67" s="55">
        <f t="shared" ref="F67:F264" si="5">ROUND(J67,4)</f>
        <v>237.8742</v>
      </c>
      <c r="G67" s="56">
        <f t="shared" si="1"/>
        <v>234.14</v>
      </c>
      <c r="H67" s="50" t="s">
        <v>285</v>
      </c>
      <c r="I67" s="27" t="s">
        <v>514</v>
      </c>
      <c r="J67" s="27">
        <v>237.87419650000001</v>
      </c>
      <c r="K67" s="39"/>
      <c r="L67" s="299"/>
      <c r="M67" s="300"/>
      <c r="N67" s="301"/>
      <c r="O67" s="301"/>
      <c r="P67" s="301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x14ac:dyDescent="0.25">
      <c r="A68" s="312">
        <f t="shared" si="3"/>
        <v>66</v>
      </c>
      <c r="B68" s="309"/>
      <c r="C68" s="53" t="str">
        <f t="shared" ref="C68:C183" si="6">I68</f>
        <v>6UDOIT12OC</v>
      </c>
      <c r="D68" s="53"/>
      <c r="E68" s="54">
        <f>+'CALCULO TARIFAS CC '!$S$45</f>
        <v>0.98429977792344414</v>
      </c>
      <c r="F68" s="55">
        <f t="shared" si="5"/>
        <v>69.337900000000005</v>
      </c>
      <c r="G68" s="56">
        <f t="shared" si="1"/>
        <v>68.25</v>
      </c>
      <c r="H68" s="50" t="s">
        <v>285</v>
      </c>
      <c r="I68" s="27" t="s">
        <v>621</v>
      </c>
      <c r="J68" s="27">
        <v>69.337903699999998</v>
      </c>
      <c r="K68" s="39"/>
      <c r="L68" s="299"/>
      <c r="M68" s="300"/>
      <c r="N68" s="301"/>
      <c r="O68" s="301"/>
      <c r="P68" s="301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x14ac:dyDescent="0.25">
      <c r="A69" s="312">
        <f t="shared" ref="A69:A108" si="7">A68+1</f>
        <v>67</v>
      </c>
      <c r="B69" s="309"/>
      <c r="C69" s="53" t="str">
        <f t="shared" si="6"/>
        <v>6UDOITALB</v>
      </c>
      <c r="D69" s="53"/>
      <c r="E69" s="54">
        <f>+'CALCULO TARIFAS CC '!$S$45</f>
        <v>0.98429977792344414</v>
      </c>
      <c r="F69" s="55">
        <f t="shared" si="5"/>
        <v>72.584800000000001</v>
      </c>
      <c r="G69" s="56">
        <f t="shared" si="1"/>
        <v>71.45</v>
      </c>
      <c r="H69" s="50" t="s">
        <v>285</v>
      </c>
      <c r="I69" s="27" t="s">
        <v>587</v>
      </c>
      <c r="J69" s="27">
        <v>72.584814199999997</v>
      </c>
      <c r="K69" s="39"/>
      <c r="L69" s="299"/>
      <c r="M69" s="300"/>
      <c r="N69" s="301"/>
      <c r="O69" s="301"/>
      <c r="P69" s="301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x14ac:dyDescent="0.25">
      <c r="A70" s="312">
        <f t="shared" si="7"/>
        <v>68</v>
      </c>
      <c r="B70" s="309"/>
      <c r="C70" s="53" t="str">
        <f t="shared" si="6"/>
        <v>6UDOITBGOL</v>
      </c>
      <c r="D70" s="53"/>
      <c r="E70" s="54">
        <f>+'CALCULO TARIFAS CC '!$S$45</f>
        <v>0.98429977792344414</v>
      </c>
      <c r="F70" s="55">
        <f t="shared" si="5"/>
        <v>53.783700000000003</v>
      </c>
      <c r="G70" s="56">
        <f t="shared" si="1"/>
        <v>52.94</v>
      </c>
      <c r="H70" s="50" t="s">
        <v>285</v>
      </c>
      <c r="I70" s="27" t="s">
        <v>622</v>
      </c>
      <c r="J70" s="27">
        <v>53.783728099999998</v>
      </c>
      <c r="K70" s="39"/>
      <c r="L70" s="299"/>
      <c r="M70" s="300"/>
      <c r="N70" s="301"/>
      <c r="O70" s="301"/>
      <c r="P70" s="301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x14ac:dyDescent="0.25">
      <c r="A71" s="312">
        <f t="shared" si="7"/>
        <v>69</v>
      </c>
      <c r="B71" s="309"/>
      <c r="C71" s="53" t="str">
        <f t="shared" si="6"/>
        <v>6UDOITCENT</v>
      </c>
      <c r="D71" s="53"/>
      <c r="E71" s="54">
        <f>+'CALCULO TARIFAS CC '!$S$45</f>
        <v>0.98429977792344414</v>
      </c>
      <c r="F71" s="55">
        <f t="shared" si="5"/>
        <v>98.997600000000006</v>
      </c>
      <c r="G71" s="56">
        <f t="shared" si="1"/>
        <v>97.44</v>
      </c>
      <c r="H71" s="50" t="s">
        <v>285</v>
      </c>
      <c r="I71" s="27" t="s">
        <v>623</v>
      </c>
      <c r="J71" s="27">
        <v>98.997610899999998</v>
      </c>
      <c r="K71" s="39"/>
      <c r="L71" s="299"/>
      <c r="M71" s="300"/>
      <c r="N71" s="301"/>
      <c r="O71" s="301"/>
      <c r="P71" s="301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x14ac:dyDescent="0.25">
      <c r="A72" s="312">
        <f t="shared" si="7"/>
        <v>70</v>
      </c>
      <c r="B72" s="309"/>
      <c r="C72" s="53" t="str">
        <f t="shared" si="6"/>
        <v>6UDOITCHI</v>
      </c>
      <c r="D72" s="53"/>
      <c r="E72" s="54">
        <f>+'CALCULO TARIFAS CC '!$S$45</f>
        <v>0.98429977792344414</v>
      </c>
      <c r="F72" s="55">
        <f t="shared" si="5"/>
        <v>77.248699999999999</v>
      </c>
      <c r="G72" s="56">
        <f t="shared" si="1"/>
        <v>76.040000000000006</v>
      </c>
      <c r="H72" s="50" t="s">
        <v>285</v>
      </c>
      <c r="I72" s="27" t="s">
        <v>588</v>
      </c>
      <c r="J72" s="27">
        <v>77.248749000000004</v>
      </c>
      <c r="K72" s="39"/>
      <c r="L72" s="299"/>
      <c r="M72" s="300"/>
      <c r="N72" s="301"/>
      <c r="O72" s="301"/>
      <c r="P72" s="301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s="334" customFormat="1" x14ac:dyDescent="0.25">
      <c r="A73" s="312">
        <f t="shared" si="7"/>
        <v>71</v>
      </c>
      <c r="B73" s="309"/>
      <c r="C73" s="53" t="str">
        <f t="shared" si="6"/>
        <v>6UDOITDAV80</v>
      </c>
      <c r="D73" s="53"/>
      <c r="E73" s="54">
        <f>+'CALCULO TARIFAS CC '!$S$45</f>
        <v>0.98429977792344414</v>
      </c>
      <c r="F73" s="55">
        <f t="shared" ref="F73:F124" si="8">ROUND(J73,4)</f>
        <v>59.602899999999998</v>
      </c>
      <c r="G73" s="56">
        <f t="shared" ref="G73:G124" si="9">+ROUND(F73*E73,2)</f>
        <v>58.67</v>
      </c>
      <c r="H73" s="50" t="s">
        <v>285</v>
      </c>
      <c r="I73" s="27" t="s">
        <v>624</v>
      </c>
      <c r="J73" s="27">
        <v>59.602863200000002</v>
      </c>
      <c r="K73" s="39"/>
      <c r="L73" s="299"/>
      <c r="M73" s="300"/>
      <c r="N73" s="301"/>
      <c r="O73" s="301"/>
      <c r="P73" s="301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s="334" customFormat="1" x14ac:dyDescent="0.25">
      <c r="A74" s="312">
        <f t="shared" si="7"/>
        <v>72</v>
      </c>
      <c r="B74" s="309"/>
      <c r="C74" s="53" t="str">
        <f t="shared" si="6"/>
        <v>6UDOITDOR</v>
      </c>
      <c r="D74" s="53"/>
      <c r="E74" s="54">
        <f>+'CALCULO TARIFAS CC '!$S$45</f>
        <v>0.98429977792344414</v>
      </c>
      <c r="F74" s="55">
        <f t="shared" si="8"/>
        <v>165.44710000000001</v>
      </c>
      <c r="G74" s="56">
        <f t="shared" si="9"/>
        <v>162.85</v>
      </c>
      <c r="H74" s="50" t="s">
        <v>285</v>
      </c>
      <c r="I74" s="27" t="s">
        <v>501</v>
      </c>
      <c r="J74" s="27">
        <v>165.4470623</v>
      </c>
      <c r="K74" s="39"/>
      <c r="L74" s="299"/>
      <c r="M74" s="300"/>
      <c r="N74" s="301"/>
      <c r="O74" s="301"/>
      <c r="P74" s="301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334" customFormat="1" x14ac:dyDescent="0.25">
      <c r="A75" s="312">
        <f t="shared" si="7"/>
        <v>73</v>
      </c>
      <c r="B75" s="309"/>
      <c r="C75" s="53" t="str">
        <f t="shared" si="6"/>
        <v>6UDOITLDON</v>
      </c>
      <c r="D75" s="53"/>
      <c r="E75" s="54">
        <f>+'CALCULO TARIFAS CC '!$S$45</f>
        <v>0.98429977792344414</v>
      </c>
      <c r="F75" s="55">
        <f t="shared" si="8"/>
        <v>81.16</v>
      </c>
      <c r="G75" s="56">
        <f t="shared" si="9"/>
        <v>79.89</v>
      </c>
      <c r="H75" s="50" t="s">
        <v>285</v>
      </c>
      <c r="I75" s="27" t="s">
        <v>625</v>
      </c>
      <c r="J75" s="27">
        <v>81.160033100000007</v>
      </c>
      <c r="K75" s="39"/>
      <c r="L75" s="299"/>
      <c r="M75" s="300"/>
      <c r="N75" s="301"/>
      <c r="O75" s="301"/>
      <c r="P75" s="301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s="334" customFormat="1" x14ac:dyDescent="0.25">
      <c r="A76" s="312">
        <f t="shared" si="7"/>
        <v>74</v>
      </c>
      <c r="B76" s="309"/>
      <c r="C76" s="53" t="str">
        <f t="shared" si="6"/>
        <v>6UDOITLPUE</v>
      </c>
      <c r="D76" s="53"/>
      <c r="E76" s="54">
        <f>+'CALCULO TARIFAS CC '!$S$45</f>
        <v>0.98429977792344414</v>
      </c>
      <c r="F76" s="55">
        <f t="shared" si="8"/>
        <v>107.2124</v>
      </c>
      <c r="G76" s="56">
        <f t="shared" si="9"/>
        <v>105.53</v>
      </c>
      <c r="H76" s="50" t="s">
        <v>285</v>
      </c>
      <c r="I76" s="27" t="s">
        <v>626</v>
      </c>
      <c r="J76" s="27">
        <v>107.2124213</v>
      </c>
      <c r="K76" s="39"/>
      <c r="L76" s="299"/>
      <c r="M76" s="300"/>
      <c r="N76" s="301"/>
      <c r="O76" s="301"/>
      <c r="P76" s="301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s="334" customFormat="1" x14ac:dyDescent="0.25">
      <c r="A77" s="312">
        <f t="shared" si="7"/>
        <v>75</v>
      </c>
      <c r="B77" s="309"/>
      <c r="C77" s="53" t="str">
        <f t="shared" si="6"/>
        <v>6UDOITTOC</v>
      </c>
      <c r="D77" s="53"/>
      <c r="E77" s="54">
        <f>+'CALCULO TARIFAS CC '!$S$45</f>
        <v>0.98429977792344414</v>
      </c>
      <c r="F77" s="55">
        <f t="shared" si="8"/>
        <v>68.280299999999997</v>
      </c>
      <c r="G77" s="56">
        <f t="shared" si="9"/>
        <v>67.209999999999994</v>
      </c>
      <c r="H77" s="50" t="s">
        <v>285</v>
      </c>
      <c r="I77" s="27" t="s">
        <v>627</v>
      </c>
      <c r="J77" s="27">
        <v>68.280347399999997</v>
      </c>
      <c r="K77" s="39"/>
      <c r="L77" s="299"/>
      <c r="M77" s="300"/>
      <c r="N77" s="301"/>
      <c r="O77" s="301"/>
      <c r="P77" s="301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s="334" customFormat="1" x14ac:dyDescent="0.25">
      <c r="A78" s="312">
        <f t="shared" si="7"/>
        <v>76</v>
      </c>
      <c r="B78" s="309"/>
      <c r="C78" s="53" t="str">
        <f t="shared" si="6"/>
        <v>6UDOITVZAI</v>
      </c>
      <c r="D78" s="53"/>
      <c r="E78" s="54">
        <f>+'CALCULO TARIFAS CC '!$S$45</f>
        <v>0.98429977792344414</v>
      </c>
      <c r="F78" s="55">
        <f t="shared" si="8"/>
        <v>72.765799999999999</v>
      </c>
      <c r="G78" s="56">
        <f t="shared" si="9"/>
        <v>71.62</v>
      </c>
      <c r="H78" s="50" t="s">
        <v>285</v>
      </c>
      <c r="I78" s="27" t="s">
        <v>628</v>
      </c>
      <c r="J78" s="27">
        <v>72.765817999999996</v>
      </c>
      <c r="K78" s="39"/>
      <c r="L78" s="299"/>
      <c r="M78" s="300"/>
      <c r="N78" s="301"/>
      <c r="O78" s="301"/>
      <c r="P78" s="301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s="334" customFormat="1" x14ac:dyDescent="0.25">
      <c r="A79" s="312">
        <f t="shared" si="7"/>
        <v>77</v>
      </c>
      <c r="B79" s="309"/>
      <c r="C79" s="53" t="str">
        <f t="shared" si="6"/>
        <v>6UDOITWES</v>
      </c>
      <c r="D79" s="53"/>
      <c r="E79" s="54">
        <f>+'CALCULO TARIFAS CC '!$S$45</f>
        <v>0.98429977792344414</v>
      </c>
      <c r="F79" s="55">
        <f t="shared" si="8"/>
        <v>30.5688</v>
      </c>
      <c r="G79" s="56">
        <f t="shared" si="9"/>
        <v>30.09</v>
      </c>
      <c r="H79" s="50" t="s">
        <v>285</v>
      </c>
      <c r="I79" s="27" t="s">
        <v>589</v>
      </c>
      <c r="J79" s="27">
        <v>30.568838700000001</v>
      </c>
      <c r="K79" s="39"/>
      <c r="L79" s="299"/>
      <c r="M79" s="300"/>
      <c r="N79" s="301"/>
      <c r="O79" s="301"/>
      <c r="P79" s="301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s="334" customFormat="1" x14ac:dyDescent="0.25">
      <c r="A80" s="312">
        <f t="shared" si="7"/>
        <v>78</v>
      </c>
      <c r="B80" s="309"/>
      <c r="C80" s="53" t="str">
        <f t="shared" si="6"/>
        <v>6UEAZUL427</v>
      </c>
      <c r="D80" s="53"/>
      <c r="E80" s="54">
        <f>+'CALCULO TARIFAS CC '!$S$45</f>
        <v>0.98429977792344414</v>
      </c>
      <c r="F80" s="55">
        <f t="shared" si="8"/>
        <v>24.965900000000001</v>
      </c>
      <c r="G80" s="56">
        <f t="shared" si="9"/>
        <v>24.57</v>
      </c>
      <c r="H80" s="50" t="s">
        <v>285</v>
      </c>
      <c r="I80" s="27" t="s">
        <v>411</v>
      </c>
      <c r="J80" s="27">
        <v>24.9658993</v>
      </c>
      <c r="K80" s="39"/>
      <c r="L80" s="299"/>
      <c r="M80" s="300"/>
      <c r="N80" s="301"/>
      <c r="O80" s="301"/>
      <c r="P80" s="301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s="334" customFormat="1" x14ac:dyDescent="0.25">
      <c r="A81" s="312">
        <f t="shared" si="7"/>
        <v>79</v>
      </c>
      <c r="B81" s="309"/>
      <c r="C81" s="53" t="str">
        <f t="shared" si="6"/>
        <v>6UEBELL</v>
      </c>
      <c r="D81" s="53"/>
      <c r="E81" s="54">
        <f>+'CALCULO TARIFAS CC '!$S$45</f>
        <v>0.98429977792344414</v>
      </c>
      <c r="F81" s="55">
        <f t="shared" si="8"/>
        <v>284.9008</v>
      </c>
      <c r="G81" s="56">
        <f t="shared" si="9"/>
        <v>280.43</v>
      </c>
      <c r="H81" s="50" t="s">
        <v>285</v>
      </c>
      <c r="I81" s="27" t="s">
        <v>590</v>
      </c>
      <c r="J81" s="27">
        <v>284.90081809999998</v>
      </c>
      <c r="K81" s="39"/>
      <c r="L81" s="299"/>
      <c r="M81" s="300"/>
      <c r="N81" s="301"/>
      <c r="O81" s="301"/>
      <c r="P81" s="301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s="334" customFormat="1" x14ac:dyDescent="0.25">
      <c r="A82" s="312">
        <f t="shared" si="7"/>
        <v>80</v>
      </c>
      <c r="B82" s="309"/>
      <c r="C82" s="53" t="str">
        <f t="shared" si="6"/>
        <v>6UECSA</v>
      </c>
      <c r="D82" s="53"/>
      <c r="E82" s="54">
        <f>+'CALCULO TARIFAS CC '!$S$45</f>
        <v>0.98429977792344414</v>
      </c>
      <c r="F82" s="55">
        <f t="shared" si="8"/>
        <v>335.05549999999999</v>
      </c>
      <c r="G82" s="56">
        <f t="shared" si="9"/>
        <v>329.8</v>
      </c>
      <c r="H82" s="50" t="s">
        <v>285</v>
      </c>
      <c r="I82" s="27" t="s">
        <v>377</v>
      </c>
      <c r="J82" s="27">
        <v>335.05553800000001</v>
      </c>
      <c r="K82" s="39"/>
      <c r="L82" s="299"/>
      <c r="M82" s="300"/>
      <c r="N82" s="301"/>
      <c r="O82" s="301"/>
      <c r="P82" s="301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s="334" customFormat="1" x14ac:dyDescent="0.25">
      <c r="A83" s="312">
        <f t="shared" si="7"/>
        <v>81</v>
      </c>
      <c r="B83" s="309"/>
      <c r="C83" s="53" t="str">
        <f t="shared" si="6"/>
        <v>6DEDECHI</v>
      </c>
      <c r="D83" s="53"/>
      <c r="E83" s="54">
        <f>+'CALCULO TARIFAS CC '!$S$45</f>
        <v>0.98429977792344414</v>
      </c>
      <c r="F83" s="55">
        <f t="shared" si="8"/>
        <v>79145.113599999997</v>
      </c>
      <c r="G83" s="56">
        <f t="shared" si="9"/>
        <v>77902.52</v>
      </c>
      <c r="H83" s="50" t="s">
        <v>285</v>
      </c>
      <c r="I83" s="27" t="s">
        <v>21</v>
      </c>
      <c r="J83" s="27">
        <v>79145.1135813</v>
      </c>
      <c r="K83" s="39"/>
      <c r="L83" s="299"/>
      <c r="M83" s="300"/>
      <c r="N83" s="301"/>
      <c r="O83" s="301"/>
      <c r="P83" s="301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s="334" customFormat="1" x14ac:dyDescent="0.25">
      <c r="A84" s="312">
        <f t="shared" si="7"/>
        <v>82</v>
      </c>
      <c r="B84" s="309"/>
      <c r="C84" s="53" t="str">
        <f t="shared" si="6"/>
        <v>6DEDEMET</v>
      </c>
      <c r="D84" s="53"/>
      <c r="E84" s="54">
        <f>+'CALCULO TARIFAS CC '!$S$45</f>
        <v>0.98429977792344414</v>
      </c>
      <c r="F84" s="55">
        <f t="shared" si="8"/>
        <v>386737.89279999997</v>
      </c>
      <c r="G84" s="56">
        <f t="shared" si="9"/>
        <v>380666.02</v>
      </c>
      <c r="H84" s="50" t="s">
        <v>285</v>
      </c>
      <c r="I84" s="27" t="s">
        <v>22</v>
      </c>
      <c r="J84" s="27">
        <v>386737.8927504</v>
      </c>
      <c r="K84" s="39"/>
      <c r="L84" s="299"/>
      <c r="M84" s="300"/>
      <c r="N84" s="301"/>
      <c r="O84" s="301"/>
      <c r="P84" s="301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s="334" customFormat="1" x14ac:dyDescent="0.25">
      <c r="A85" s="312">
        <f t="shared" si="7"/>
        <v>83</v>
      </c>
      <c r="B85" s="309"/>
      <c r="C85" s="53" t="str">
        <f t="shared" si="6"/>
        <v>6UEEUA</v>
      </c>
      <c r="D85" s="53"/>
      <c r="E85" s="54">
        <f>+'CALCULO TARIFAS CC '!$S$45</f>
        <v>0.98429977792344414</v>
      </c>
      <c r="F85" s="55">
        <f t="shared" si="8"/>
        <v>631.90549999999996</v>
      </c>
      <c r="G85" s="56">
        <f t="shared" si="9"/>
        <v>621.98</v>
      </c>
      <c r="H85" s="50" t="s">
        <v>285</v>
      </c>
      <c r="I85" s="27" t="s">
        <v>51</v>
      </c>
      <c r="J85" s="27">
        <v>631.90550940000003</v>
      </c>
      <c r="K85" s="39"/>
      <c r="L85" s="299"/>
      <c r="M85" s="300"/>
      <c r="N85" s="301"/>
      <c r="O85" s="301"/>
      <c r="P85" s="301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s="334" customFormat="1" x14ac:dyDescent="0.25">
      <c r="A86" s="312">
        <f t="shared" si="7"/>
        <v>84</v>
      </c>
      <c r="B86" s="309"/>
      <c r="C86" s="53" t="str">
        <f t="shared" si="6"/>
        <v>6GEGEISTMO</v>
      </c>
      <c r="D86" s="53"/>
      <c r="E86" s="54">
        <f>+'CALCULO TARIFAS CC '!$S$45</f>
        <v>0.98429977792344414</v>
      </c>
      <c r="F86" s="55">
        <f t="shared" si="8"/>
        <v>2.2029999999999998</v>
      </c>
      <c r="G86" s="56">
        <f t="shared" si="9"/>
        <v>2.17</v>
      </c>
      <c r="H86" s="50" t="s">
        <v>285</v>
      </c>
      <c r="I86" s="27" t="s">
        <v>446</v>
      </c>
      <c r="J86" s="27">
        <v>2.2030129999999999</v>
      </c>
      <c r="K86" s="39"/>
      <c r="L86" s="299"/>
      <c r="M86" s="300"/>
      <c r="N86" s="301"/>
      <c r="O86" s="301"/>
      <c r="P86" s="301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s="334" customFormat="1" x14ac:dyDescent="0.25">
      <c r="A87" s="312">
        <f t="shared" si="7"/>
        <v>85</v>
      </c>
      <c r="B87" s="309"/>
      <c r="C87" s="53" t="str">
        <f t="shared" si="6"/>
        <v>6GEISA</v>
      </c>
      <c r="D87" s="53"/>
      <c r="E87" s="54">
        <f>+'CALCULO TARIFAS CC '!$S$45</f>
        <v>0.98429977792344414</v>
      </c>
      <c r="F87" s="55">
        <f t="shared" si="8"/>
        <v>6.9599999999999995E-2</v>
      </c>
      <c r="G87" s="56">
        <f t="shared" si="9"/>
        <v>7.0000000000000007E-2</v>
      </c>
      <c r="H87" s="50" t="s">
        <v>285</v>
      </c>
      <c r="I87" s="27" t="s">
        <v>629</v>
      </c>
      <c r="J87" s="27">
        <v>6.9599999999999995E-2</v>
      </c>
      <c r="K87" s="39"/>
      <c r="L87" s="299"/>
      <c r="M87" s="300"/>
      <c r="N87" s="301"/>
      <c r="O87" s="301"/>
      <c r="P87" s="301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s="334" customFormat="1" x14ac:dyDescent="0.25">
      <c r="A88" s="312">
        <f t="shared" si="7"/>
        <v>86</v>
      </c>
      <c r="B88" s="309"/>
      <c r="C88" s="53" t="str">
        <f t="shared" si="6"/>
        <v>6GENERGYST</v>
      </c>
      <c r="D88" s="53"/>
      <c r="E88" s="54">
        <f>+'CALCULO TARIFAS CC '!$S$45</f>
        <v>0.98429977792344414</v>
      </c>
      <c r="F88" s="55">
        <f t="shared" si="8"/>
        <v>80.578599999999994</v>
      </c>
      <c r="G88" s="56">
        <f t="shared" si="9"/>
        <v>79.31</v>
      </c>
      <c r="H88" s="50" t="s">
        <v>285</v>
      </c>
      <c r="I88" s="27" t="s">
        <v>630</v>
      </c>
      <c r="J88" s="27">
        <v>80.578558999999998</v>
      </c>
      <c r="K88" s="39"/>
      <c r="L88" s="299"/>
      <c r="M88" s="300"/>
      <c r="N88" s="301"/>
      <c r="O88" s="301"/>
      <c r="P88" s="301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s="334" customFormat="1" x14ac:dyDescent="0.25">
      <c r="A89" s="312">
        <f t="shared" si="7"/>
        <v>87</v>
      </c>
      <c r="B89" s="309"/>
      <c r="C89" s="53" t="str">
        <f t="shared" si="6"/>
        <v>6DENSA</v>
      </c>
      <c r="D89" s="53"/>
      <c r="E89" s="54">
        <f>+'CALCULO TARIFAS CC '!$S$45</f>
        <v>0.98429977792344414</v>
      </c>
      <c r="F89" s="55">
        <f t="shared" si="8"/>
        <v>310695.96779999998</v>
      </c>
      <c r="G89" s="56">
        <f t="shared" si="9"/>
        <v>305817.96999999997</v>
      </c>
      <c r="H89" s="50" t="s">
        <v>285</v>
      </c>
      <c r="I89" s="27" t="s">
        <v>23</v>
      </c>
      <c r="J89" s="27">
        <v>310695.9678483</v>
      </c>
      <c r="K89" s="39"/>
      <c r="L89" s="299"/>
      <c r="M89" s="300"/>
      <c r="N89" s="301"/>
      <c r="O89" s="301"/>
      <c r="P89" s="301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s="334" customFormat="1" x14ac:dyDescent="0.25">
      <c r="A90" s="312">
        <f t="shared" si="7"/>
        <v>88</v>
      </c>
      <c r="B90" s="309"/>
      <c r="C90" s="53" t="str">
        <f t="shared" si="6"/>
        <v>6UENSA_CV</v>
      </c>
      <c r="D90" s="53"/>
      <c r="E90" s="54">
        <f>+'CALCULO TARIFAS CC '!$S$45</f>
        <v>0.98429977792344414</v>
      </c>
      <c r="F90" s="55">
        <f t="shared" si="8"/>
        <v>62.710299999999997</v>
      </c>
      <c r="G90" s="56">
        <f t="shared" si="9"/>
        <v>61.73</v>
      </c>
      <c r="H90" s="50" t="s">
        <v>285</v>
      </c>
      <c r="I90" s="27" t="s">
        <v>451</v>
      </c>
      <c r="J90" s="27">
        <v>62.710325900000001</v>
      </c>
      <c r="K90" s="39"/>
      <c r="L90" s="299"/>
      <c r="M90" s="300"/>
      <c r="N90" s="301"/>
      <c r="O90" s="301"/>
      <c r="P90" s="301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s="334" customFormat="1" x14ac:dyDescent="0.25">
      <c r="A91" s="312">
        <f t="shared" si="7"/>
        <v>89</v>
      </c>
      <c r="B91" s="309"/>
      <c r="C91" s="53" t="str">
        <f t="shared" si="6"/>
        <v>6UFA12OC96</v>
      </c>
      <c r="D91" s="53"/>
      <c r="E91" s="54">
        <f>+'CALCULO TARIFAS CC '!$S$45</f>
        <v>0.98429977792344414</v>
      </c>
      <c r="F91" s="55">
        <f t="shared" si="8"/>
        <v>134.16919999999999</v>
      </c>
      <c r="G91" s="56">
        <f t="shared" si="9"/>
        <v>132.06</v>
      </c>
      <c r="H91" s="50" t="s">
        <v>285</v>
      </c>
      <c r="I91" s="27" t="s">
        <v>631</v>
      </c>
      <c r="J91" s="27">
        <v>134.1691557</v>
      </c>
      <c r="K91" s="39"/>
      <c r="L91" s="299"/>
      <c r="M91" s="300"/>
      <c r="N91" s="301"/>
      <c r="O91" s="301"/>
      <c r="P91" s="301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s="334" customFormat="1" x14ac:dyDescent="0.25">
      <c r="A92" s="312">
        <f t="shared" si="7"/>
        <v>90</v>
      </c>
      <c r="B92" s="309"/>
      <c r="C92" s="53" t="str">
        <f t="shared" si="6"/>
        <v>6UFA1CEDI69</v>
      </c>
      <c r="D92" s="53"/>
      <c r="E92" s="54">
        <f>+'CALCULO TARIFAS CC '!$S$45</f>
        <v>0.98429977792344414</v>
      </c>
      <c r="F92" s="55">
        <f t="shared" si="8"/>
        <v>71.685699999999997</v>
      </c>
      <c r="G92" s="56">
        <f t="shared" si="9"/>
        <v>70.56</v>
      </c>
      <c r="H92" s="50" t="s">
        <v>285</v>
      </c>
      <c r="I92" s="27" t="s">
        <v>632</v>
      </c>
      <c r="J92" s="27">
        <v>71.685743599999995</v>
      </c>
      <c r="K92" s="39"/>
      <c r="L92" s="299"/>
      <c r="M92" s="300"/>
      <c r="N92" s="301"/>
      <c r="O92" s="301"/>
      <c r="P92" s="301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s="334" customFormat="1" x14ac:dyDescent="0.25">
      <c r="A93" s="312">
        <f t="shared" si="7"/>
        <v>91</v>
      </c>
      <c r="B93" s="309"/>
      <c r="C93" s="53" t="str">
        <f t="shared" si="6"/>
        <v>6UFA1WESM89</v>
      </c>
      <c r="D93" s="53"/>
      <c r="E93" s="54">
        <f>+'CALCULO TARIFAS CC '!$S$45</f>
        <v>0.98429977792344414</v>
      </c>
      <c r="F93" s="55">
        <f t="shared" si="8"/>
        <v>60.008800000000001</v>
      </c>
      <c r="G93" s="56">
        <f t="shared" si="9"/>
        <v>59.07</v>
      </c>
      <c r="H93" s="50" t="s">
        <v>285</v>
      </c>
      <c r="I93" s="27" t="s">
        <v>633</v>
      </c>
      <c r="J93" s="27">
        <v>60.008794999999999</v>
      </c>
      <c r="K93" s="39"/>
      <c r="L93" s="299"/>
      <c r="M93" s="300"/>
      <c r="N93" s="301"/>
      <c r="O93" s="301"/>
      <c r="P93" s="301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s="334" customFormat="1" x14ac:dyDescent="0.25">
      <c r="A94" s="312">
        <f t="shared" si="7"/>
        <v>92</v>
      </c>
      <c r="B94" s="309"/>
      <c r="C94" s="53" t="str">
        <f t="shared" si="6"/>
        <v>6UFA2CEDI64</v>
      </c>
      <c r="D94" s="53"/>
      <c r="E94" s="54">
        <f>+'CALCULO TARIFAS CC '!$S$45</f>
        <v>0.98429977792344414</v>
      </c>
      <c r="F94" s="55">
        <f t="shared" si="8"/>
        <v>84.459800000000001</v>
      </c>
      <c r="G94" s="56">
        <f t="shared" si="9"/>
        <v>83.13</v>
      </c>
      <c r="H94" s="50" t="s">
        <v>285</v>
      </c>
      <c r="I94" s="27" t="s">
        <v>634</v>
      </c>
      <c r="J94" s="27">
        <v>84.459828900000005</v>
      </c>
      <c r="K94" s="39"/>
      <c r="L94" s="299"/>
      <c r="M94" s="300"/>
      <c r="N94" s="301"/>
      <c r="O94" s="301"/>
      <c r="P94" s="301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s="334" customFormat="1" x14ac:dyDescent="0.25">
      <c r="A95" s="312">
        <f t="shared" si="7"/>
        <v>93</v>
      </c>
      <c r="B95" s="309"/>
      <c r="C95" s="53" t="str">
        <f t="shared" si="6"/>
        <v>6UFA2WESM91</v>
      </c>
      <c r="D95" s="53"/>
      <c r="E95" s="54">
        <f>+'CALCULO TARIFAS CC '!$S$45</f>
        <v>0.98429977792344414</v>
      </c>
      <c r="F95" s="55">
        <f t="shared" si="8"/>
        <v>72.695599999999999</v>
      </c>
      <c r="G95" s="56">
        <f t="shared" si="9"/>
        <v>71.55</v>
      </c>
      <c r="H95" s="50" t="s">
        <v>285</v>
      </c>
      <c r="I95" s="27" t="s">
        <v>635</v>
      </c>
      <c r="J95" s="27">
        <v>72.6956232</v>
      </c>
      <c r="K95" s="39"/>
      <c r="L95" s="299"/>
      <c r="M95" s="300"/>
      <c r="N95" s="301"/>
      <c r="O95" s="301"/>
      <c r="P95" s="301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s="334" customFormat="1" x14ac:dyDescent="0.25">
      <c r="A96" s="312">
        <f t="shared" si="7"/>
        <v>94</v>
      </c>
      <c r="B96" s="309"/>
      <c r="C96" s="53" t="str">
        <f t="shared" si="6"/>
        <v>6UFA3CEDI70</v>
      </c>
      <c r="D96" s="53"/>
      <c r="E96" s="54">
        <f>+'CALCULO TARIFAS CC '!$S$45</f>
        <v>0.98429977792344414</v>
      </c>
      <c r="F96" s="55">
        <f t="shared" si="8"/>
        <v>24.835000000000001</v>
      </c>
      <c r="G96" s="56">
        <f t="shared" si="9"/>
        <v>24.45</v>
      </c>
      <c r="H96" s="50" t="s">
        <v>285</v>
      </c>
      <c r="I96" s="27" t="s">
        <v>636</v>
      </c>
      <c r="J96" s="27">
        <v>24.835016899999999</v>
      </c>
      <c r="K96" s="39"/>
      <c r="L96" s="299"/>
      <c r="M96" s="300"/>
      <c r="N96" s="301"/>
      <c r="O96" s="301"/>
      <c r="P96" s="301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s="334" customFormat="1" x14ac:dyDescent="0.25">
      <c r="A97" s="312">
        <f t="shared" si="7"/>
        <v>95</v>
      </c>
      <c r="B97" s="309"/>
      <c r="C97" s="53" t="str">
        <f t="shared" si="6"/>
        <v>6UFA4CEDI73</v>
      </c>
      <c r="D97" s="53"/>
      <c r="E97" s="54">
        <f>+'CALCULO TARIFAS CC '!$S$45</f>
        <v>0.98429977792344414</v>
      </c>
      <c r="F97" s="55">
        <f t="shared" si="8"/>
        <v>73.560900000000004</v>
      </c>
      <c r="G97" s="56">
        <f t="shared" si="9"/>
        <v>72.41</v>
      </c>
      <c r="H97" s="50" t="s">
        <v>285</v>
      </c>
      <c r="I97" s="27" t="s">
        <v>637</v>
      </c>
      <c r="J97" s="27">
        <v>73.560890299999997</v>
      </c>
      <c r="K97" s="39"/>
      <c r="L97" s="299"/>
      <c r="M97" s="300"/>
      <c r="N97" s="301"/>
      <c r="O97" s="301"/>
      <c r="P97" s="301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s="334" customFormat="1" x14ac:dyDescent="0.25">
      <c r="A98" s="312">
        <f t="shared" si="7"/>
        <v>96</v>
      </c>
      <c r="B98" s="309"/>
      <c r="C98" s="53" t="str">
        <f t="shared" si="6"/>
        <v>6UFA50CA21</v>
      </c>
      <c r="D98" s="53"/>
      <c r="E98" s="54">
        <f>+'CALCULO TARIFAS CC '!$S$45</f>
        <v>0.98429977792344414</v>
      </c>
      <c r="F98" s="55">
        <f t="shared" si="8"/>
        <v>73.497500000000002</v>
      </c>
      <c r="G98" s="56">
        <f t="shared" si="9"/>
        <v>72.34</v>
      </c>
      <c r="H98" s="50" t="s">
        <v>285</v>
      </c>
      <c r="I98" s="27" t="s">
        <v>638</v>
      </c>
      <c r="J98" s="27">
        <v>73.497497899999999</v>
      </c>
      <c r="K98" s="39"/>
      <c r="L98" s="299"/>
      <c r="M98" s="300"/>
      <c r="N98" s="301"/>
      <c r="O98" s="301"/>
      <c r="P98" s="301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s="334" customFormat="1" x14ac:dyDescent="0.25">
      <c r="A99" s="312">
        <f t="shared" si="7"/>
        <v>97</v>
      </c>
      <c r="B99" s="309"/>
      <c r="C99" s="53" t="str">
        <f t="shared" si="6"/>
        <v>6UFA5CEDI85</v>
      </c>
      <c r="D99" s="53"/>
      <c r="E99" s="54">
        <f>+'CALCULO TARIFAS CC '!$S$45</f>
        <v>0.98429977792344414</v>
      </c>
      <c r="F99" s="55">
        <f t="shared" si="8"/>
        <v>100.3276</v>
      </c>
      <c r="G99" s="56">
        <f t="shared" si="9"/>
        <v>98.75</v>
      </c>
      <c r="H99" s="50" t="s">
        <v>285</v>
      </c>
      <c r="I99" s="27" t="s">
        <v>639</v>
      </c>
      <c r="J99" s="27">
        <v>100.32756809999999</v>
      </c>
      <c r="K99" s="39"/>
      <c r="L99" s="299"/>
      <c r="M99" s="300"/>
      <c r="N99" s="301"/>
      <c r="O99" s="301"/>
      <c r="P99" s="301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s="334" customFormat="1" x14ac:dyDescent="0.25">
      <c r="A100" s="312">
        <f t="shared" si="7"/>
        <v>98</v>
      </c>
      <c r="B100" s="309"/>
      <c r="C100" s="53" t="str">
        <f t="shared" si="6"/>
        <v>6UFAABRM42</v>
      </c>
      <c r="D100" s="53"/>
      <c r="E100" s="54">
        <f>+'CALCULO TARIFAS CC '!$S$45</f>
        <v>0.98429977792344414</v>
      </c>
      <c r="F100" s="55">
        <f t="shared" si="8"/>
        <v>180.80019999999999</v>
      </c>
      <c r="G100" s="56">
        <f t="shared" si="9"/>
        <v>177.96</v>
      </c>
      <c r="H100" s="50" t="s">
        <v>285</v>
      </c>
      <c r="I100" s="27" t="s">
        <v>640</v>
      </c>
      <c r="J100" s="27">
        <v>180.8002324</v>
      </c>
      <c r="K100" s="39"/>
      <c r="L100" s="299"/>
      <c r="M100" s="300"/>
      <c r="N100" s="301"/>
      <c r="O100" s="301"/>
      <c r="P100" s="301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334" customFormat="1" x14ac:dyDescent="0.25">
      <c r="A101" s="312">
        <f t="shared" si="7"/>
        <v>99</v>
      </c>
      <c r="B101" s="309"/>
      <c r="C101" s="53" t="str">
        <f t="shared" si="6"/>
        <v>6UFABGOL74</v>
      </c>
      <c r="D101" s="53"/>
      <c r="E101" s="54">
        <f>+'CALCULO TARIFAS CC '!$S$45</f>
        <v>0.98429977792344414</v>
      </c>
      <c r="F101" s="55">
        <f t="shared" si="8"/>
        <v>100.8411</v>
      </c>
      <c r="G101" s="56">
        <f t="shared" si="9"/>
        <v>99.26</v>
      </c>
      <c r="H101" s="50" t="s">
        <v>285</v>
      </c>
      <c r="I101" s="27" t="s">
        <v>641</v>
      </c>
      <c r="J101" s="27">
        <v>100.84107899999999</v>
      </c>
      <c r="K101" s="39"/>
      <c r="L101" s="299"/>
      <c r="M101" s="300"/>
      <c r="N101" s="301"/>
      <c r="O101" s="301"/>
      <c r="P101" s="301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s="334" customFormat="1" x14ac:dyDescent="0.25">
      <c r="A102" s="312">
        <f t="shared" si="7"/>
        <v>100</v>
      </c>
      <c r="B102" s="309"/>
      <c r="C102" s="53" t="str">
        <f t="shared" si="6"/>
        <v>6UFACENT92</v>
      </c>
      <c r="D102" s="53"/>
      <c r="E102" s="54">
        <f>+'CALCULO TARIFAS CC '!$S$45</f>
        <v>0.98429977792344414</v>
      </c>
      <c r="F102" s="55">
        <f t="shared" si="8"/>
        <v>156.52600000000001</v>
      </c>
      <c r="G102" s="56">
        <f t="shared" si="9"/>
        <v>154.07</v>
      </c>
      <c r="H102" s="50" t="s">
        <v>285</v>
      </c>
      <c r="I102" s="27" t="s">
        <v>642</v>
      </c>
      <c r="J102" s="27">
        <v>156.52597349999999</v>
      </c>
      <c r="K102" s="39"/>
      <c r="L102" s="299"/>
      <c r="M102" s="300"/>
      <c r="N102" s="301"/>
      <c r="O102" s="301"/>
      <c r="P102" s="301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s="334" customFormat="1" x14ac:dyDescent="0.25">
      <c r="A103" s="312">
        <f t="shared" si="7"/>
        <v>101</v>
      </c>
      <c r="B103" s="309"/>
      <c r="C103" s="53" t="str">
        <f t="shared" si="6"/>
        <v>6UFACEST85</v>
      </c>
      <c r="D103" s="53"/>
      <c r="E103" s="54">
        <f>+'CALCULO TARIFAS CC '!$S$45</f>
        <v>0.98429977792344414</v>
      </c>
      <c r="F103" s="55">
        <f t="shared" si="8"/>
        <v>47.554400000000001</v>
      </c>
      <c r="G103" s="56">
        <f t="shared" si="9"/>
        <v>46.81</v>
      </c>
      <c r="H103" s="50" t="s">
        <v>285</v>
      </c>
      <c r="I103" s="27" t="s">
        <v>643</v>
      </c>
      <c r="J103" s="27">
        <v>47.554376900000001</v>
      </c>
      <c r="K103" s="39"/>
      <c r="L103" s="299"/>
      <c r="M103" s="300"/>
      <c r="N103" s="301"/>
      <c r="O103" s="301"/>
      <c r="P103" s="301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s="334" customFormat="1" x14ac:dyDescent="0.25">
      <c r="A104" s="312">
        <f t="shared" si="7"/>
        <v>102</v>
      </c>
      <c r="B104" s="309"/>
      <c r="C104" s="53" t="str">
        <f t="shared" si="6"/>
        <v>6UFACHIPC91</v>
      </c>
      <c r="D104" s="53"/>
      <c r="E104" s="54">
        <f>+'CALCULO TARIFAS CC '!$S$45</f>
        <v>0.98429977792344414</v>
      </c>
      <c r="F104" s="55">
        <f t="shared" si="8"/>
        <v>91.950999999999993</v>
      </c>
      <c r="G104" s="56">
        <f t="shared" si="9"/>
        <v>90.51</v>
      </c>
      <c r="H104" s="50" t="s">
        <v>285</v>
      </c>
      <c r="I104" s="27" t="s">
        <v>644</v>
      </c>
      <c r="J104" s="27">
        <v>91.951026299999995</v>
      </c>
      <c r="K104" s="39"/>
      <c r="L104" s="299"/>
      <c r="M104" s="300"/>
      <c r="N104" s="301"/>
      <c r="O104" s="301"/>
      <c r="P104" s="301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s="334" customFormat="1" x14ac:dyDescent="0.25">
      <c r="A105" s="312">
        <f t="shared" si="7"/>
        <v>103</v>
      </c>
      <c r="B105" s="309"/>
      <c r="C105" s="53" t="str">
        <f t="shared" si="6"/>
        <v>6UFACVERD57</v>
      </c>
      <c r="D105" s="53"/>
      <c r="E105" s="54">
        <f>+'CALCULO TARIFAS CC '!$S$45</f>
        <v>0.98429977792344414</v>
      </c>
      <c r="F105" s="55">
        <f t="shared" si="8"/>
        <v>52.0503</v>
      </c>
      <c r="G105" s="56">
        <f t="shared" si="9"/>
        <v>51.23</v>
      </c>
      <c r="H105" s="50" t="s">
        <v>285</v>
      </c>
      <c r="I105" s="27" t="s">
        <v>645</v>
      </c>
      <c r="J105" s="27">
        <v>52.050303100000001</v>
      </c>
      <c r="K105" s="39"/>
      <c r="L105" s="299"/>
      <c r="M105" s="300"/>
      <c r="N105" s="301"/>
      <c r="O105" s="301"/>
      <c r="P105" s="301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334" customFormat="1" x14ac:dyDescent="0.25">
      <c r="A106" s="312">
        <f t="shared" si="7"/>
        <v>104</v>
      </c>
      <c r="B106" s="309"/>
      <c r="C106" s="53" t="str">
        <f t="shared" si="6"/>
        <v>6UFADAVPT75</v>
      </c>
      <c r="D106" s="53"/>
      <c r="E106" s="54">
        <f>+'CALCULO TARIFAS CC '!$S$45</f>
        <v>0.98429977792344414</v>
      </c>
      <c r="F106" s="55">
        <f t="shared" si="8"/>
        <v>186.63759999999999</v>
      </c>
      <c r="G106" s="56">
        <f t="shared" si="9"/>
        <v>183.71</v>
      </c>
      <c r="H106" s="50" t="s">
        <v>285</v>
      </c>
      <c r="I106" s="27" t="s">
        <v>646</v>
      </c>
      <c r="J106" s="27">
        <v>186.63756660000001</v>
      </c>
      <c r="K106" s="39"/>
      <c r="L106" s="299"/>
      <c r="M106" s="300"/>
      <c r="N106" s="301"/>
      <c r="O106" s="301"/>
      <c r="P106" s="301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s="334" customFormat="1" x14ac:dyDescent="0.25">
      <c r="A107" s="312">
        <f t="shared" si="7"/>
        <v>105</v>
      </c>
      <c r="B107" s="309"/>
      <c r="C107" s="53" t="str">
        <f t="shared" si="6"/>
        <v>6UFALANDE02</v>
      </c>
      <c r="D107" s="53"/>
      <c r="E107" s="54">
        <f>+'CALCULO TARIFAS CC '!$S$45</f>
        <v>0.98429977792344414</v>
      </c>
      <c r="F107" s="55">
        <f t="shared" si="8"/>
        <v>78.614000000000004</v>
      </c>
      <c r="G107" s="56">
        <f t="shared" si="9"/>
        <v>77.38</v>
      </c>
      <c r="H107" s="50" t="s">
        <v>285</v>
      </c>
      <c r="I107" s="27" t="s">
        <v>647</v>
      </c>
      <c r="J107" s="27">
        <v>78.613990999999999</v>
      </c>
      <c r="K107" s="39"/>
      <c r="L107" s="299"/>
      <c r="M107" s="300"/>
      <c r="N107" s="301"/>
      <c r="O107" s="301"/>
      <c r="P107" s="301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334" customFormat="1" x14ac:dyDescent="0.25">
      <c r="A108" s="312">
        <f t="shared" si="7"/>
        <v>106</v>
      </c>
      <c r="B108" s="309"/>
      <c r="C108" s="53" t="str">
        <f t="shared" si="6"/>
        <v>6UFALPUEB94</v>
      </c>
      <c r="D108" s="53"/>
      <c r="E108" s="54">
        <f>+'CALCULO TARIFAS CC '!$S$45</f>
        <v>0.98429977792344414</v>
      </c>
      <c r="F108" s="55">
        <f t="shared" si="8"/>
        <v>82.391000000000005</v>
      </c>
      <c r="G108" s="56">
        <f t="shared" si="9"/>
        <v>81.099999999999994</v>
      </c>
      <c r="H108" s="50" t="s">
        <v>285</v>
      </c>
      <c r="I108" s="27" t="s">
        <v>648</v>
      </c>
      <c r="J108" s="27">
        <v>82.391032100000004</v>
      </c>
      <c r="K108" s="39"/>
      <c r="L108" s="299"/>
      <c r="M108" s="300"/>
      <c r="N108" s="301"/>
      <c r="O108" s="301"/>
      <c r="P108" s="301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s="334" customFormat="1" x14ac:dyDescent="0.25">
      <c r="A109" s="312">
        <f t="shared" ref="A109:A172" si="10">A108+1</f>
        <v>107</v>
      </c>
      <c r="B109" s="309"/>
      <c r="C109" s="53" t="str">
        <f t="shared" si="6"/>
        <v>6UFAOF1LA14</v>
      </c>
      <c r="D109" s="53"/>
      <c r="E109" s="54">
        <f>+'CALCULO TARIFAS CC '!$S$45</f>
        <v>0.98429977792344414</v>
      </c>
      <c r="F109" s="55">
        <f t="shared" si="8"/>
        <v>74.153599999999997</v>
      </c>
      <c r="G109" s="56">
        <f t="shared" si="9"/>
        <v>72.989999999999995</v>
      </c>
      <c r="H109" s="50" t="s">
        <v>285</v>
      </c>
      <c r="I109" s="27" t="s">
        <v>649</v>
      </c>
      <c r="J109" s="27">
        <v>74.1536428</v>
      </c>
      <c r="K109" s="39"/>
      <c r="L109" s="299"/>
      <c r="M109" s="300"/>
      <c r="N109" s="301"/>
      <c r="O109" s="301"/>
      <c r="P109" s="301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s="334" customFormat="1" x14ac:dyDescent="0.25">
      <c r="A110" s="312">
        <f t="shared" si="10"/>
        <v>108</v>
      </c>
      <c r="B110" s="309"/>
      <c r="C110" s="53" t="str">
        <f t="shared" si="6"/>
        <v>6UFAOF2LA88</v>
      </c>
      <c r="D110" s="53"/>
      <c r="E110" s="54">
        <f>+'CALCULO TARIFAS CC '!$S$45</f>
        <v>0.98429977792344414</v>
      </c>
      <c r="F110" s="55">
        <f t="shared" si="8"/>
        <v>28.849399999999999</v>
      </c>
      <c r="G110" s="56">
        <f t="shared" si="9"/>
        <v>28.4</v>
      </c>
      <c r="H110" s="50" t="s">
        <v>285</v>
      </c>
      <c r="I110" s="27" t="s">
        <v>650</v>
      </c>
      <c r="J110" s="27">
        <v>28.849356199999999</v>
      </c>
      <c r="K110" s="39"/>
      <c r="L110" s="299"/>
      <c r="M110" s="300"/>
      <c r="N110" s="301"/>
      <c r="O110" s="301"/>
      <c r="P110" s="301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s="334" customFormat="1" x14ac:dyDescent="0.25">
      <c r="A111" s="312">
        <f t="shared" si="10"/>
        <v>109</v>
      </c>
      <c r="B111" s="309"/>
      <c r="C111" s="53" t="str">
        <f t="shared" si="6"/>
        <v>6UFAPME54</v>
      </c>
      <c r="D111" s="53"/>
      <c r="E111" s="54">
        <f>+'CALCULO TARIFAS CC '!$S$45</f>
        <v>0.98429977792344414</v>
      </c>
      <c r="F111" s="55">
        <f t="shared" si="8"/>
        <v>49.369100000000003</v>
      </c>
      <c r="G111" s="56">
        <f t="shared" si="9"/>
        <v>48.59</v>
      </c>
      <c r="H111" s="50" t="s">
        <v>285</v>
      </c>
      <c r="I111" s="27" t="s">
        <v>651</v>
      </c>
      <c r="J111" s="27">
        <v>49.3691332</v>
      </c>
      <c r="K111" s="39"/>
      <c r="L111" s="299"/>
      <c r="M111" s="300"/>
      <c r="N111" s="301"/>
      <c r="O111" s="301"/>
      <c r="P111" s="301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s="334" customFormat="1" x14ac:dyDescent="0.25">
      <c r="A112" s="312">
        <f t="shared" si="10"/>
        <v>110</v>
      </c>
      <c r="B112" s="309"/>
      <c r="C112" s="53" t="str">
        <f t="shared" si="6"/>
        <v>6UFASANTB81</v>
      </c>
      <c r="D112" s="53"/>
      <c r="E112" s="54">
        <f>+'CALCULO TARIFAS CC '!$S$45</f>
        <v>0.98429977792344414</v>
      </c>
      <c r="F112" s="55">
        <f t="shared" si="8"/>
        <v>97.979699999999994</v>
      </c>
      <c r="G112" s="56">
        <f t="shared" si="9"/>
        <v>96.44</v>
      </c>
      <c r="H112" s="50" t="s">
        <v>285</v>
      </c>
      <c r="I112" s="27" t="s">
        <v>652</v>
      </c>
      <c r="J112" s="27">
        <v>97.979664900000003</v>
      </c>
      <c r="K112" s="39"/>
      <c r="L112" s="299"/>
      <c r="M112" s="300"/>
      <c r="N112" s="301"/>
      <c r="O112" s="301"/>
      <c r="P112" s="301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334" customFormat="1" x14ac:dyDescent="0.25">
      <c r="A113" s="312">
        <f t="shared" si="10"/>
        <v>111</v>
      </c>
      <c r="B113" s="309"/>
      <c r="C113" s="53" t="str">
        <f t="shared" si="6"/>
        <v>6UFATMUER63</v>
      </c>
      <c r="D113" s="53"/>
      <c r="E113" s="54">
        <f>+'CALCULO TARIFAS CC '!$S$45</f>
        <v>0.98429977792344414</v>
      </c>
      <c r="F113" s="55">
        <f t="shared" si="8"/>
        <v>77.040000000000006</v>
      </c>
      <c r="G113" s="56">
        <f t="shared" si="9"/>
        <v>75.83</v>
      </c>
      <c r="H113" s="50" t="s">
        <v>285</v>
      </c>
      <c r="I113" s="27" t="s">
        <v>653</v>
      </c>
      <c r="J113" s="27">
        <v>77.040036099999995</v>
      </c>
      <c r="K113" s="39"/>
      <c r="L113" s="299"/>
      <c r="M113" s="300"/>
      <c r="N113" s="301"/>
      <c r="O113" s="301"/>
      <c r="P113" s="301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334" customFormat="1" x14ac:dyDescent="0.25">
      <c r="A114" s="312">
        <f t="shared" si="10"/>
        <v>112</v>
      </c>
      <c r="B114" s="309"/>
      <c r="C114" s="53" t="str">
        <f t="shared" si="6"/>
        <v>6UFAVLUC26</v>
      </c>
      <c r="D114" s="53"/>
      <c r="E114" s="54">
        <f>+'CALCULO TARIFAS CC '!$S$45</f>
        <v>0.98429977792344414</v>
      </c>
      <c r="F114" s="55">
        <f t="shared" si="8"/>
        <v>77.545100000000005</v>
      </c>
      <c r="G114" s="56">
        <f t="shared" si="9"/>
        <v>76.33</v>
      </c>
      <c r="H114" s="50" t="s">
        <v>285</v>
      </c>
      <c r="I114" s="27" t="s">
        <v>654</v>
      </c>
      <c r="J114" s="27">
        <v>77.545065100000002</v>
      </c>
      <c r="K114" s="39"/>
      <c r="L114" s="299"/>
      <c r="M114" s="300"/>
      <c r="N114" s="301"/>
      <c r="O114" s="301"/>
      <c r="P114" s="301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334" customFormat="1" x14ac:dyDescent="0.25">
      <c r="A115" s="312">
        <f t="shared" si="10"/>
        <v>113</v>
      </c>
      <c r="B115" s="309"/>
      <c r="C115" s="53" t="str">
        <f t="shared" si="6"/>
        <v>6UFCC</v>
      </c>
      <c r="D115" s="53"/>
      <c r="E115" s="54">
        <f>+'CALCULO TARIFAS CC '!$S$45</f>
        <v>0.98429977792344414</v>
      </c>
      <c r="F115" s="55">
        <f t="shared" si="8"/>
        <v>117.1524</v>
      </c>
      <c r="G115" s="56">
        <f t="shared" si="9"/>
        <v>115.31</v>
      </c>
      <c r="H115" s="50" t="s">
        <v>285</v>
      </c>
      <c r="I115" s="27" t="s">
        <v>52</v>
      </c>
      <c r="J115" s="27">
        <v>117.15243719999999</v>
      </c>
      <c r="K115" s="39"/>
      <c r="L115" s="299"/>
      <c r="M115" s="300"/>
      <c r="N115" s="301"/>
      <c r="O115" s="301"/>
      <c r="P115" s="301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s="334" customFormat="1" x14ac:dyDescent="0.25">
      <c r="A116" s="312">
        <f t="shared" si="10"/>
        <v>114</v>
      </c>
      <c r="B116" s="309"/>
      <c r="C116" s="53" t="str">
        <f t="shared" si="6"/>
        <v>6UFEDUDOR</v>
      </c>
      <c r="D116" s="53"/>
      <c r="E116" s="54">
        <f>+'CALCULO TARIFAS CC '!$S$45</f>
        <v>0.98429977792344414</v>
      </c>
      <c r="F116" s="55">
        <f t="shared" si="8"/>
        <v>281.90309999999999</v>
      </c>
      <c r="G116" s="56">
        <f t="shared" si="9"/>
        <v>277.48</v>
      </c>
      <c r="H116" s="50" t="s">
        <v>285</v>
      </c>
      <c r="I116" s="27" t="s">
        <v>419</v>
      </c>
      <c r="J116" s="27">
        <v>281.90306429999998</v>
      </c>
      <c r="K116" s="39"/>
      <c r="L116" s="299"/>
      <c r="M116" s="300"/>
      <c r="N116" s="301"/>
      <c r="O116" s="301"/>
      <c r="P116" s="301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s="334" customFormat="1" x14ac:dyDescent="0.25">
      <c r="A117" s="312">
        <f t="shared" si="10"/>
        <v>115</v>
      </c>
      <c r="B117" s="309"/>
      <c r="C117" s="53" t="str">
        <f t="shared" si="6"/>
        <v>6UFEDUM8</v>
      </c>
      <c r="D117" s="53"/>
      <c r="E117" s="54">
        <f>+'CALCULO TARIFAS CC '!$S$45</f>
        <v>0.98429977792344414</v>
      </c>
      <c r="F117" s="55">
        <f t="shared" si="8"/>
        <v>289.18970000000002</v>
      </c>
      <c r="G117" s="56">
        <f t="shared" si="9"/>
        <v>284.64999999999998</v>
      </c>
      <c r="H117" s="50" t="s">
        <v>285</v>
      </c>
      <c r="I117" s="27" t="s">
        <v>420</v>
      </c>
      <c r="J117" s="27">
        <v>289.18974759999998</v>
      </c>
      <c r="K117" s="39"/>
      <c r="L117" s="299"/>
      <c r="M117" s="300"/>
      <c r="N117" s="301"/>
      <c r="O117" s="301"/>
      <c r="P117" s="301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s="334" customFormat="1" x14ac:dyDescent="0.25">
      <c r="A118" s="312">
        <f t="shared" si="10"/>
        <v>116</v>
      </c>
      <c r="B118" s="309"/>
      <c r="C118" s="53" t="str">
        <f t="shared" si="6"/>
        <v>6UFGALERIA</v>
      </c>
      <c r="D118" s="53"/>
      <c r="E118" s="54">
        <f>+'CALCULO TARIFAS CC '!$S$45</f>
        <v>0.98429977792344414</v>
      </c>
      <c r="F118" s="55">
        <f t="shared" si="8"/>
        <v>57.833100000000002</v>
      </c>
      <c r="G118" s="56">
        <f t="shared" si="9"/>
        <v>56.93</v>
      </c>
      <c r="H118" s="50" t="s">
        <v>285</v>
      </c>
      <c r="I118" s="27" t="s">
        <v>591</v>
      </c>
      <c r="J118" s="27">
        <v>57.8330743</v>
      </c>
      <c r="K118" s="39"/>
      <c r="L118" s="299"/>
      <c r="M118" s="300"/>
      <c r="N118" s="301"/>
      <c r="O118" s="301"/>
      <c r="P118" s="301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334" customFormat="1" x14ac:dyDescent="0.25">
      <c r="A119" s="312">
        <f t="shared" si="10"/>
        <v>117</v>
      </c>
      <c r="B119" s="309"/>
      <c r="C119" s="53" t="str">
        <f t="shared" si="6"/>
        <v>6UFINCENT</v>
      </c>
      <c r="D119" s="53"/>
      <c r="E119" s="54">
        <f>+'CALCULO TARIFAS CC '!$S$45</f>
        <v>0.98429977792344414</v>
      </c>
      <c r="F119" s="55">
        <f t="shared" si="8"/>
        <v>225.4349</v>
      </c>
      <c r="G119" s="56">
        <f t="shared" si="9"/>
        <v>221.9</v>
      </c>
      <c r="H119" s="50" t="s">
        <v>285</v>
      </c>
      <c r="I119" s="27" t="s">
        <v>592</v>
      </c>
      <c r="J119" s="27">
        <v>225.43489790000001</v>
      </c>
      <c r="K119" s="39"/>
      <c r="L119" s="299"/>
      <c r="M119" s="300"/>
      <c r="N119" s="301"/>
      <c r="O119" s="301"/>
      <c r="P119" s="301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334" customFormat="1" x14ac:dyDescent="0.25">
      <c r="A120" s="312">
        <f t="shared" si="10"/>
        <v>118</v>
      </c>
      <c r="B120" s="309"/>
      <c r="C120" s="53" t="str">
        <f t="shared" si="6"/>
        <v>6UFMOTTA</v>
      </c>
      <c r="D120" s="53"/>
      <c r="E120" s="54">
        <f>+'CALCULO TARIFAS CC '!$S$45</f>
        <v>0.98429977792344414</v>
      </c>
      <c r="F120" s="55">
        <f t="shared" si="8"/>
        <v>128.78219999999999</v>
      </c>
      <c r="G120" s="56">
        <f t="shared" si="9"/>
        <v>126.76</v>
      </c>
      <c r="H120" s="50" t="s">
        <v>285</v>
      </c>
      <c r="I120" s="27" t="s">
        <v>655</v>
      </c>
      <c r="J120" s="27">
        <v>128.78222070000001</v>
      </c>
      <c r="K120" s="39"/>
      <c r="L120" s="299"/>
      <c r="M120" s="300"/>
      <c r="N120" s="301"/>
      <c r="O120" s="301"/>
      <c r="P120" s="301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s="334" customFormat="1" x14ac:dyDescent="0.25">
      <c r="A121" s="312">
        <f t="shared" si="10"/>
        <v>119</v>
      </c>
      <c r="B121" s="309"/>
      <c r="C121" s="53" t="str">
        <f t="shared" si="6"/>
        <v>6UFMPLAZ40</v>
      </c>
      <c r="D121" s="53"/>
      <c r="E121" s="54">
        <f>+'CALCULO TARIFAS CC '!$S$45</f>
        <v>0.98429977792344414</v>
      </c>
      <c r="F121" s="55">
        <f t="shared" si="8"/>
        <v>208.05950000000001</v>
      </c>
      <c r="G121" s="56">
        <f t="shared" si="9"/>
        <v>204.79</v>
      </c>
      <c r="H121" s="50" t="s">
        <v>285</v>
      </c>
      <c r="I121" s="27" t="s">
        <v>656</v>
      </c>
      <c r="J121" s="27">
        <v>208.0594677</v>
      </c>
      <c r="K121" s="39"/>
      <c r="L121" s="299"/>
      <c r="M121" s="300"/>
      <c r="N121" s="301"/>
      <c r="O121" s="301"/>
      <c r="P121" s="301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s="334" customFormat="1" x14ac:dyDescent="0.25">
      <c r="A122" s="312">
        <f t="shared" si="10"/>
        <v>120</v>
      </c>
      <c r="B122" s="309"/>
      <c r="C122" s="53" t="str">
        <f t="shared" si="6"/>
        <v>6GFORTUNA</v>
      </c>
      <c r="D122" s="53"/>
      <c r="E122" s="54">
        <f>+'CALCULO TARIFAS CC '!$S$45</f>
        <v>0.98429977792344414</v>
      </c>
      <c r="F122" s="55">
        <f t="shared" si="8"/>
        <v>19.7059</v>
      </c>
      <c r="G122" s="56">
        <f t="shared" si="9"/>
        <v>19.399999999999999</v>
      </c>
      <c r="H122" s="50" t="s">
        <v>285</v>
      </c>
      <c r="I122" s="27" t="s">
        <v>696</v>
      </c>
      <c r="J122" s="27">
        <v>19.705873</v>
      </c>
      <c r="K122" s="39"/>
      <c r="L122" s="299"/>
      <c r="M122" s="300"/>
      <c r="N122" s="301"/>
      <c r="O122" s="301"/>
      <c r="P122" s="301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s="334" customFormat="1" x14ac:dyDescent="0.25">
      <c r="A123" s="312">
        <f t="shared" si="10"/>
        <v>121</v>
      </c>
      <c r="B123" s="309"/>
      <c r="C123" s="53" t="str">
        <f t="shared" si="6"/>
        <v>6UFPARK28</v>
      </c>
      <c r="D123" s="53"/>
      <c r="E123" s="54">
        <f>+'CALCULO TARIFAS CC '!$S$45</f>
        <v>0.98429977792344414</v>
      </c>
      <c r="F123" s="55">
        <f t="shared" si="8"/>
        <v>175.61</v>
      </c>
      <c r="G123" s="56">
        <f t="shared" si="9"/>
        <v>172.85</v>
      </c>
      <c r="H123" s="50" t="s">
        <v>285</v>
      </c>
      <c r="I123" s="27" t="s">
        <v>603</v>
      </c>
      <c r="J123" s="27">
        <v>175.60996710000001</v>
      </c>
      <c r="K123" s="39"/>
      <c r="L123" s="299"/>
      <c r="M123" s="300"/>
      <c r="N123" s="301"/>
      <c r="O123" s="301"/>
      <c r="P123" s="301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s="334" customFormat="1" x14ac:dyDescent="0.25">
      <c r="A124" s="312">
        <f t="shared" si="10"/>
        <v>122</v>
      </c>
      <c r="B124" s="309"/>
      <c r="C124" s="53" t="str">
        <f t="shared" si="6"/>
        <v>6UF_BIN90</v>
      </c>
      <c r="D124" s="53"/>
      <c r="E124" s="54">
        <f>+'CALCULO TARIFAS CC '!$S$45</f>
        <v>0.98429977792344414</v>
      </c>
      <c r="F124" s="55">
        <f t="shared" si="8"/>
        <v>148.6704</v>
      </c>
      <c r="G124" s="56">
        <f t="shared" si="9"/>
        <v>146.34</v>
      </c>
      <c r="H124" s="50" t="s">
        <v>285</v>
      </c>
      <c r="I124" s="27" t="s">
        <v>359</v>
      </c>
      <c r="J124" s="27">
        <v>148.6704336</v>
      </c>
      <c r="K124" s="39"/>
      <c r="L124" s="299"/>
      <c r="M124" s="300"/>
      <c r="N124" s="301"/>
      <c r="O124" s="301"/>
      <c r="P124" s="301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12">
        <f t="shared" si="10"/>
        <v>123</v>
      </c>
      <c r="B125" s="309"/>
      <c r="C125" s="53" t="str">
        <f t="shared" si="6"/>
        <v>6UF_CARIBE</v>
      </c>
      <c r="D125" s="53"/>
      <c r="E125" s="54">
        <f>+'CALCULO TARIFAS CC '!$S$45</f>
        <v>0.98429977792344414</v>
      </c>
      <c r="F125" s="55">
        <f t="shared" si="5"/>
        <v>122.5282</v>
      </c>
      <c r="G125" s="56">
        <f t="shared" si="1"/>
        <v>120.6</v>
      </c>
      <c r="H125" s="50" t="s">
        <v>285</v>
      </c>
      <c r="I125" s="27" t="s">
        <v>354</v>
      </c>
      <c r="J125" s="27">
        <v>122.5282193</v>
      </c>
      <c r="K125" s="39"/>
      <c r="L125" s="299"/>
      <c r="M125" s="300"/>
      <c r="N125" s="301"/>
      <c r="O125" s="301"/>
      <c r="P125" s="301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12">
        <f t="shared" si="10"/>
        <v>124</v>
      </c>
      <c r="B126" s="309"/>
      <c r="C126" s="53" t="str">
        <f t="shared" si="6"/>
        <v>6UF_CHITRE</v>
      </c>
      <c r="D126" s="53"/>
      <c r="E126" s="54">
        <f>+'CALCULO TARIFAS CC '!$S$45</f>
        <v>0.98429977792344414</v>
      </c>
      <c r="F126" s="55">
        <f t="shared" si="5"/>
        <v>90.149600000000007</v>
      </c>
      <c r="G126" s="56">
        <f t="shared" si="1"/>
        <v>88.73</v>
      </c>
      <c r="H126" s="50" t="s">
        <v>285</v>
      </c>
      <c r="I126" s="27" t="s">
        <v>356</v>
      </c>
      <c r="J126" s="27">
        <v>90.149595000000005</v>
      </c>
      <c r="K126" s="39"/>
      <c r="L126" s="299"/>
      <c r="M126" s="300"/>
      <c r="N126" s="301"/>
      <c r="O126" s="301"/>
      <c r="P126" s="301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12">
        <f t="shared" si="10"/>
        <v>125</v>
      </c>
      <c r="B127" s="309"/>
      <c r="C127" s="53" t="str">
        <f t="shared" si="6"/>
        <v>6UF_CHORRE</v>
      </c>
      <c r="D127" s="53"/>
      <c r="E127" s="54">
        <f>+'CALCULO TARIFAS CC '!$S$45</f>
        <v>0.98429977792344414</v>
      </c>
      <c r="F127" s="55">
        <f t="shared" si="5"/>
        <v>162.1438</v>
      </c>
      <c r="G127" s="56">
        <f t="shared" si="1"/>
        <v>159.6</v>
      </c>
      <c r="H127" s="50" t="s">
        <v>285</v>
      </c>
      <c r="I127" s="27" t="s">
        <v>361</v>
      </c>
      <c r="J127" s="27">
        <v>162.14375140000001</v>
      </c>
      <c r="K127" s="39"/>
      <c r="L127" s="299"/>
      <c r="M127" s="300"/>
      <c r="N127" s="301"/>
      <c r="O127" s="301"/>
      <c r="P127" s="301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12">
        <f t="shared" si="10"/>
        <v>126</v>
      </c>
      <c r="B128" s="309"/>
      <c r="C128" s="53" t="str">
        <f t="shared" si="6"/>
        <v>6UF_MILLER</v>
      </c>
      <c r="D128" s="53"/>
      <c r="E128" s="54">
        <f>+'CALCULO TARIFAS CC '!$S$45</f>
        <v>0.98429977792344414</v>
      </c>
      <c r="F128" s="55">
        <f t="shared" si="5"/>
        <v>109.9171</v>
      </c>
      <c r="G128" s="56">
        <f t="shared" si="1"/>
        <v>108.19</v>
      </c>
      <c r="H128" s="50" t="s">
        <v>285</v>
      </c>
      <c r="I128" s="27" t="s">
        <v>355</v>
      </c>
      <c r="J128" s="27">
        <v>109.9171061</v>
      </c>
      <c r="K128" s="39"/>
      <c r="L128" s="299"/>
      <c r="M128" s="300"/>
      <c r="N128" s="301"/>
      <c r="O128" s="301"/>
      <c r="P128" s="301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x14ac:dyDescent="0.25">
      <c r="A129" s="312">
        <f t="shared" si="10"/>
        <v>127</v>
      </c>
      <c r="B129" s="309"/>
      <c r="C129" s="53" t="str">
        <f t="shared" si="6"/>
        <v>6UF_PNOME</v>
      </c>
      <c r="D129" s="53"/>
      <c r="E129" s="54">
        <f>+'CALCULO TARIFAS CC '!$S$45</f>
        <v>0.98429977792344414</v>
      </c>
      <c r="F129" s="55">
        <f t="shared" si="5"/>
        <v>58.701599999999999</v>
      </c>
      <c r="G129" s="56">
        <f t="shared" si="1"/>
        <v>57.78</v>
      </c>
      <c r="H129" s="50" t="s">
        <v>285</v>
      </c>
      <c r="I129" s="27" t="s">
        <v>491</v>
      </c>
      <c r="J129" s="27">
        <v>58.701636899999997</v>
      </c>
      <c r="K129" s="39"/>
      <c r="L129" s="299"/>
      <c r="M129" s="300"/>
      <c r="N129" s="301"/>
      <c r="O129" s="301"/>
      <c r="P129" s="301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x14ac:dyDescent="0.25">
      <c r="A130" s="312">
        <f t="shared" si="10"/>
        <v>128</v>
      </c>
      <c r="B130" s="309"/>
      <c r="C130" s="53" t="str">
        <f t="shared" si="6"/>
        <v>6UF_STGO</v>
      </c>
      <c r="D130" s="53"/>
      <c r="E130" s="54">
        <f>+'CALCULO TARIFAS CC '!$S$45</f>
        <v>0.98429977792344414</v>
      </c>
      <c r="F130" s="55">
        <f t="shared" si="5"/>
        <v>119.3685</v>
      </c>
      <c r="G130" s="56">
        <f t="shared" si="1"/>
        <v>117.49</v>
      </c>
      <c r="H130" s="50" t="s">
        <v>285</v>
      </c>
      <c r="I130" s="27" t="s">
        <v>357</v>
      </c>
      <c r="J130" s="27">
        <v>119.3684617</v>
      </c>
      <c r="K130" s="39"/>
      <c r="L130" s="299"/>
      <c r="M130" s="300"/>
      <c r="N130" s="301"/>
      <c r="O130" s="301"/>
      <c r="P130" s="301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x14ac:dyDescent="0.25">
      <c r="A131" s="312">
        <f t="shared" si="10"/>
        <v>129</v>
      </c>
      <c r="B131" s="309"/>
      <c r="C131" s="53" t="str">
        <f t="shared" si="6"/>
        <v>6UF_VLEGRE</v>
      </c>
      <c r="D131" s="53"/>
      <c r="E131" s="54">
        <f>+'CALCULO TARIFAS CC '!$S$45</f>
        <v>0.98429977792344414</v>
      </c>
      <c r="F131" s="55">
        <f t="shared" si="5"/>
        <v>126.87</v>
      </c>
      <c r="G131" s="56">
        <f t="shared" si="1"/>
        <v>124.88</v>
      </c>
      <c r="H131" s="50" t="s">
        <v>285</v>
      </c>
      <c r="I131" s="27" t="s">
        <v>358</v>
      </c>
      <c r="J131" s="27">
        <v>126.8699913</v>
      </c>
      <c r="K131" s="39"/>
      <c r="L131" s="299"/>
      <c r="M131" s="300"/>
      <c r="N131" s="301"/>
      <c r="O131" s="301"/>
      <c r="P131" s="301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x14ac:dyDescent="0.25">
      <c r="A132" s="312">
        <f t="shared" si="10"/>
        <v>130</v>
      </c>
      <c r="B132" s="309"/>
      <c r="C132" s="53" t="str">
        <f t="shared" si="6"/>
        <v>6UF_ZAITA</v>
      </c>
      <c r="D132" s="53"/>
      <c r="E132" s="54">
        <f>+'CALCULO TARIFAS CC '!$S$45</f>
        <v>0.98429977792344414</v>
      </c>
      <c r="F132" s="55">
        <f t="shared" si="5"/>
        <v>72.849100000000007</v>
      </c>
      <c r="G132" s="56">
        <f t="shared" si="1"/>
        <v>71.709999999999994</v>
      </c>
      <c r="H132" s="50" t="s">
        <v>285</v>
      </c>
      <c r="I132" s="27" t="s">
        <v>657</v>
      </c>
      <c r="J132" s="27">
        <v>72.849129199999993</v>
      </c>
      <c r="K132" s="39"/>
      <c r="L132" s="299"/>
      <c r="M132" s="300"/>
      <c r="N132" s="301"/>
      <c r="O132" s="301"/>
      <c r="P132" s="301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x14ac:dyDescent="0.25">
      <c r="A133" s="312">
        <f t="shared" si="10"/>
        <v>131</v>
      </c>
      <c r="B133" s="309"/>
      <c r="C133" s="53" t="str">
        <f t="shared" si="6"/>
        <v>6UGAMBOA</v>
      </c>
      <c r="D133" s="53"/>
      <c r="E133" s="54">
        <f>+'CALCULO TARIFAS CC '!$S$45</f>
        <v>0.98429977792344414</v>
      </c>
      <c r="F133" s="55">
        <f t="shared" si="5"/>
        <v>220.73330000000001</v>
      </c>
      <c r="G133" s="56">
        <f t="shared" si="1"/>
        <v>217.27</v>
      </c>
      <c r="H133" s="50" t="s">
        <v>285</v>
      </c>
      <c r="I133" s="27" t="s">
        <v>573</v>
      </c>
      <c r="J133" s="27">
        <v>220.73332350000001</v>
      </c>
      <c r="K133" s="39"/>
      <c r="L133" s="299"/>
      <c r="M133" s="300"/>
      <c r="N133" s="301"/>
      <c r="O133" s="301"/>
      <c r="P133" s="301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x14ac:dyDescent="0.25">
      <c r="A134" s="312">
        <f t="shared" si="10"/>
        <v>132</v>
      </c>
      <c r="B134" s="309"/>
      <c r="C134" s="53" t="str">
        <f t="shared" si="6"/>
        <v>6GGENA</v>
      </c>
      <c r="D134" s="53"/>
      <c r="E134" s="54">
        <f>+'CALCULO TARIFAS CC '!$S$45</f>
        <v>0.98429977792344414</v>
      </c>
      <c r="F134" s="55">
        <f t="shared" si="5"/>
        <v>2.0299999999999999E-2</v>
      </c>
      <c r="G134" s="56">
        <f t="shared" si="1"/>
        <v>0.02</v>
      </c>
      <c r="H134" s="50" t="s">
        <v>285</v>
      </c>
      <c r="I134" s="27" t="s">
        <v>29</v>
      </c>
      <c r="J134" s="27">
        <v>2.0341999999999999E-2</v>
      </c>
      <c r="K134" s="39"/>
      <c r="L134" s="299"/>
      <c r="M134" s="300"/>
      <c r="N134" s="301"/>
      <c r="O134" s="301"/>
      <c r="P134" s="301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x14ac:dyDescent="0.25">
      <c r="A135" s="312">
        <f t="shared" si="10"/>
        <v>133</v>
      </c>
      <c r="B135" s="309"/>
      <c r="C135" s="53" t="str">
        <f t="shared" si="6"/>
        <v>6GGENPED</v>
      </c>
      <c r="D135" s="53"/>
      <c r="E135" s="54">
        <f>+'CALCULO TARIFAS CC '!$S$45</f>
        <v>0.98429977792344414</v>
      </c>
      <c r="F135" s="55">
        <f t="shared" si="5"/>
        <v>5.5172999999999996</v>
      </c>
      <c r="G135" s="56">
        <f t="shared" si="1"/>
        <v>5.43</v>
      </c>
      <c r="H135" s="50" t="s">
        <v>285</v>
      </c>
      <c r="I135" s="27" t="s">
        <v>30</v>
      </c>
      <c r="J135" s="27">
        <v>5.5172869999999996</v>
      </c>
      <c r="K135" s="39"/>
      <c r="L135" s="299"/>
      <c r="M135" s="300"/>
      <c r="N135" s="301"/>
      <c r="O135" s="301"/>
      <c r="P135" s="301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x14ac:dyDescent="0.25">
      <c r="A136" s="312">
        <f t="shared" si="10"/>
        <v>134</v>
      </c>
      <c r="B136" s="309"/>
      <c r="C136" s="53" t="str">
        <f t="shared" si="6"/>
        <v>6UGLION</v>
      </c>
      <c r="D136" s="53"/>
      <c r="E136" s="54">
        <f>+'CALCULO TARIFAS CC '!$S$45</f>
        <v>0.98429977792344414</v>
      </c>
      <c r="F136" s="55">
        <f t="shared" si="5"/>
        <v>213.53049999999999</v>
      </c>
      <c r="G136" s="56">
        <f t="shared" si="1"/>
        <v>210.18</v>
      </c>
      <c r="H136" s="50" t="s">
        <v>285</v>
      </c>
      <c r="I136" s="27" t="s">
        <v>457</v>
      </c>
      <c r="J136" s="27">
        <v>213.5304983</v>
      </c>
      <c r="K136" s="39"/>
      <c r="L136" s="299"/>
      <c r="M136" s="300"/>
      <c r="N136" s="301"/>
      <c r="O136" s="301"/>
      <c r="P136" s="301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x14ac:dyDescent="0.25">
      <c r="A137" s="312">
        <f t="shared" si="10"/>
        <v>135</v>
      </c>
      <c r="B137" s="309"/>
      <c r="C137" s="53" t="str">
        <f t="shared" si="6"/>
        <v>6UGMILLS</v>
      </c>
      <c r="D137" s="53"/>
      <c r="E137" s="54">
        <f>+'CALCULO TARIFAS CC '!$S$45</f>
        <v>0.98429977792344414</v>
      </c>
      <c r="F137" s="55">
        <f t="shared" si="5"/>
        <v>578.92880000000002</v>
      </c>
      <c r="G137" s="56">
        <f t="shared" si="1"/>
        <v>569.84</v>
      </c>
      <c r="H137" s="50" t="s">
        <v>285</v>
      </c>
      <c r="I137" s="27" t="s">
        <v>53</v>
      </c>
      <c r="J137" s="27">
        <v>578.92880419999995</v>
      </c>
      <c r="K137" s="39"/>
      <c r="L137" s="299"/>
      <c r="M137" s="300"/>
      <c r="N137" s="301"/>
      <c r="O137" s="301"/>
      <c r="P137" s="301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x14ac:dyDescent="0.25">
      <c r="A138" s="312">
        <f t="shared" si="10"/>
        <v>136</v>
      </c>
      <c r="B138" s="309"/>
      <c r="C138" s="53" t="str">
        <f t="shared" si="6"/>
        <v>6UGTOWER</v>
      </c>
      <c r="D138" s="53"/>
      <c r="E138" s="54">
        <f>+'CALCULO TARIFAS CC '!$S$45</f>
        <v>0.98429977792344414</v>
      </c>
      <c r="F138" s="55">
        <f t="shared" si="5"/>
        <v>486.45929999999998</v>
      </c>
      <c r="G138" s="56">
        <f t="shared" si="1"/>
        <v>478.82</v>
      </c>
      <c r="H138" s="50" t="s">
        <v>285</v>
      </c>
      <c r="I138" s="27" t="s">
        <v>54</v>
      </c>
      <c r="J138" s="27">
        <v>486.45927139999998</v>
      </c>
      <c r="K138" s="39"/>
      <c r="L138" s="299"/>
      <c r="M138" s="300"/>
      <c r="N138" s="301"/>
      <c r="O138" s="301"/>
      <c r="P138" s="301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x14ac:dyDescent="0.25">
      <c r="A139" s="312">
        <f t="shared" si="10"/>
        <v>137</v>
      </c>
      <c r="B139" s="309"/>
      <c r="C139" s="53" t="str">
        <f t="shared" si="6"/>
        <v>6UHAMEGLIO</v>
      </c>
      <c r="D139" s="53"/>
      <c r="E139" s="54">
        <f>+'CALCULO TARIFAS CC '!$S$45</f>
        <v>0.98429977792344414</v>
      </c>
      <c r="F139" s="55">
        <f t="shared" si="5"/>
        <v>154.2799</v>
      </c>
      <c r="G139" s="56">
        <f t="shared" si="1"/>
        <v>151.86000000000001</v>
      </c>
      <c r="H139" s="50" t="s">
        <v>285</v>
      </c>
      <c r="I139" s="27" t="s">
        <v>503</v>
      </c>
      <c r="J139" s="27">
        <v>154.27989210000001</v>
      </c>
      <c r="K139" s="39"/>
      <c r="L139" s="299"/>
      <c r="M139" s="300"/>
      <c r="N139" s="301"/>
      <c r="O139" s="301"/>
      <c r="P139" s="301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x14ac:dyDescent="0.25">
      <c r="A140" s="312">
        <f t="shared" si="10"/>
        <v>138</v>
      </c>
      <c r="B140" s="309"/>
      <c r="C140" s="53" t="str">
        <f t="shared" si="6"/>
        <v>6GHBOQUERON</v>
      </c>
      <c r="D140" s="53"/>
      <c r="E140" s="54">
        <f>+'CALCULO TARIFAS CC '!$S$45</f>
        <v>0.98429977792344414</v>
      </c>
      <c r="F140" s="55">
        <f t="shared" si="5"/>
        <v>1.54E-2</v>
      </c>
      <c r="G140" s="56">
        <f t="shared" si="1"/>
        <v>0.02</v>
      </c>
      <c r="H140" s="50" t="s">
        <v>285</v>
      </c>
      <c r="I140" s="27" t="s">
        <v>584</v>
      </c>
      <c r="J140" s="27">
        <v>1.5409000000000001E-2</v>
      </c>
      <c r="K140" s="39"/>
      <c r="L140" s="299"/>
      <c r="M140" s="300"/>
      <c r="N140" s="301"/>
      <c r="O140" s="301"/>
      <c r="P140" s="301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x14ac:dyDescent="0.25">
      <c r="A141" s="312">
        <f t="shared" si="10"/>
        <v>139</v>
      </c>
      <c r="B141" s="309"/>
      <c r="C141" s="53" t="str">
        <f t="shared" si="6"/>
        <v>6UHBUENAV</v>
      </c>
      <c r="D141" s="53"/>
      <c r="E141" s="54">
        <f>+'CALCULO TARIFAS CC '!$S$45</f>
        <v>0.98429977792344414</v>
      </c>
      <c r="F141" s="55">
        <f t="shared" si="5"/>
        <v>274.31549999999999</v>
      </c>
      <c r="G141" s="56">
        <f t="shared" si="1"/>
        <v>270.01</v>
      </c>
      <c r="H141" s="50" t="s">
        <v>285</v>
      </c>
      <c r="I141" s="27" t="s">
        <v>521</v>
      </c>
      <c r="J141" s="27">
        <v>274.31549269999999</v>
      </c>
      <c r="K141" s="39"/>
      <c r="L141" s="299"/>
      <c r="M141" s="300"/>
      <c r="N141" s="301"/>
      <c r="O141" s="301"/>
      <c r="P141" s="301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s="210" customFormat="1" x14ac:dyDescent="0.25">
      <c r="A142" s="312">
        <f t="shared" si="10"/>
        <v>140</v>
      </c>
      <c r="B142" s="309"/>
      <c r="C142" s="53" t="str">
        <f t="shared" si="6"/>
        <v>6GHCAISAN</v>
      </c>
      <c r="D142" s="53"/>
      <c r="E142" s="54">
        <f>+'CALCULO TARIFAS CC '!$S$45</f>
        <v>0.98429977792344414</v>
      </c>
      <c r="F142" s="55">
        <f t="shared" si="5"/>
        <v>6.1143999999999998</v>
      </c>
      <c r="G142" s="56">
        <f t="shared" si="1"/>
        <v>6.02</v>
      </c>
      <c r="H142" s="50" t="s">
        <v>285</v>
      </c>
      <c r="I142" s="27" t="s">
        <v>486</v>
      </c>
      <c r="J142" s="27">
        <v>6.1143999999999998</v>
      </c>
      <c r="K142" s="39"/>
      <c r="L142" s="299"/>
      <c r="M142" s="300"/>
      <c r="N142" s="301"/>
      <c r="O142" s="301"/>
      <c r="P142" s="301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s="210" customFormat="1" x14ac:dyDescent="0.25">
      <c r="A143" s="312">
        <f t="shared" si="10"/>
        <v>141</v>
      </c>
      <c r="B143" s="309"/>
      <c r="C143" s="53" t="str">
        <f t="shared" si="6"/>
        <v>6UHCARIBE</v>
      </c>
      <c r="D143" s="53"/>
      <c r="E143" s="54">
        <f>+'CALCULO TARIFAS CC '!$S$45</f>
        <v>0.98429977792344414</v>
      </c>
      <c r="F143" s="55">
        <f t="shared" si="5"/>
        <v>249.1925</v>
      </c>
      <c r="G143" s="56">
        <f t="shared" si="1"/>
        <v>245.28</v>
      </c>
      <c r="H143" s="50" t="s">
        <v>285</v>
      </c>
      <c r="I143" s="27" t="s">
        <v>596</v>
      </c>
      <c r="J143" s="27">
        <v>249.19248619999999</v>
      </c>
      <c r="K143" s="39"/>
      <c r="L143" s="299"/>
      <c r="M143" s="300"/>
      <c r="N143" s="301"/>
      <c r="O143" s="301"/>
      <c r="P143" s="301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s="210" customFormat="1" x14ac:dyDescent="0.25">
      <c r="A144" s="312">
        <f t="shared" si="10"/>
        <v>142</v>
      </c>
      <c r="B144" s="309"/>
      <c r="C144" s="53" t="str">
        <f t="shared" si="6"/>
        <v>6UHCENTR72</v>
      </c>
      <c r="D144" s="53"/>
      <c r="E144" s="54">
        <f>+'CALCULO TARIFAS CC '!$S$45</f>
        <v>0.98429977792344414</v>
      </c>
      <c r="F144" s="55">
        <f t="shared" si="5"/>
        <v>168.7295</v>
      </c>
      <c r="G144" s="56">
        <f t="shared" si="1"/>
        <v>166.08</v>
      </c>
      <c r="H144" s="50" t="s">
        <v>285</v>
      </c>
      <c r="I144" s="27" t="s">
        <v>658</v>
      </c>
      <c r="J144" s="27">
        <v>168.7295082</v>
      </c>
      <c r="K144" s="39"/>
      <c r="L144" s="299"/>
      <c r="M144" s="300"/>
      <c r="N144" s="301"/>
      <c r="O144" s="301"/>
      <c r="P144" s="301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210" customFormat="1" x14ac:dyDescent="0.25">
      <c r="A145" s="312">
        <f t="shared" si="10"/>
        <v>143</v>
      </c>
      <c r="B145" s="309"/>
      <c r="C145" s="53" t="str">
        <f t="shared" si="6"/>
        <v>6UHCONT</v>
      </c>
      <c r="D145" s="53"/>
      <c r="E145" s="54">
        <f>+'CALCULO TARIFAS CC '!$S$45</f>
        <v>0.98429977792344414</v>
      </c>
      <c r="F145" s="55">
        <f t="shared" si="5"/>
        <v>248.5967</v>
      </c>
      <c r="G145" s="56">
        <f t="shared" si="1"/>
        <v>244.69</v>
      </c>
      <c r="H145" s="50" t="s">
        <v>285</v>
      </c>
      <c r="I145" s="27" t="s">
        <v>659</v>
      </c>
      <c r="J145" s="27">
        <v>248.59667580000001</v>
      </c>
      <c r="K145" s="39"/>
      <c r="L145" s="299"/>
      <c r="M145" s="300"/>
      <c r="N145" s="301"/>
      <c r="O145" s="301"/>
      <c r="P145" s="301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s="210" customFormat="1" x14ac:dyDescent="0.25">
      <c r="A146" s="312">
        <f t="shared" si="10"/>
        <v>144</v>
      </c>
      <c r="B146" s="309"/>
      <c r="C146" s="53" t="str">
        <f t="shared" si="6"/>
        <v>6UHCOURTY00</v>
      </c>
      <c r="D146" s="53"/>
      <c r="E146" s="54">
        <f>+'CALCULO TARIFAS CC '!$S$45</f>
        <v>0.98429977792344414</v>
      </c>
      <c r="F146" s="55">
        <f t="shared" si="5"/>
        <v>155.6447</v>
      </c>
      <c r="G146" s="56">
        <f t="shared" si="1"/>
        <v>153.19999999999999</v>
      </c>
      <c r="H146" s="50" t="s">
        <v>285</v>
      </c>
      <c r="I146" s="27" t="s">
        <v>697</v>
      </c>
      <c r="J146" s="27">
        <v>155.64467920000001</v>
      </c>
      <c r="K146" s="39"/>
      <c r="L146" s="299"/>
      <c r="M146" s="300"/>
      <c r="N146" s="301"/>
      <c r="O146" s="301"/>
      <c r="P146" s="301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210" customFormat="1" x14ac:dyDescent="0.25">
      <c r="A147" s="312">
        <f t="shared" si="10"/>
        <v>145</v>
      </c>
      <c r="B147" s="309"/>
      <c r="C147" s="53" t="str">
        <f t="shared" si="6"/>
        <v>6UHCROWNETOC</v>
      </c>
      <c r="D147" s="53"/>
      <c r="E147" s="54">
        <f>+'CALCULO TARIFAS CC '!$S$45</f>
        <v>0.98429977792344414</v>
      </c>
      <c r="F147" s="55">
        <f t="shared" si="5"/>
        <v>107.2436</v>
      </c>
      <c r="G147" s="56">
        <f t="shared" si="1"/>
        <v>105.56</v>
      </c>
      <c r="H147" s="50" t="s">
        <v>285</v>
      </c>
      <c r="I147" s="27" t="s">
        <v>660</v>
      </c>
      <c r="J147" s="27">
        <v>107.2435911</v>
      </c>
      <c r="K147" s="39"/>
      <c r="L147" s="299"/>
      <c r="M147" s="300"/>
      <c r="N147" s="301"/>
      <c r="O147" s="301"/>
      <c r="P147" s="301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210" customFormat="1" x14ac:dyDescent="0.25">
      <c r="A148" s="312">
        <f t="shared" si="10"/>
        <v>146</v>
      </c>
      <c r="B148" s="309"/>
      <c r="C148" s="53" t="str">
        <f t="shared" si="6"/>
        <v>6UHHINN</v>
      </c>
      <c r="D148" s="53"/>
      <c r="E148" s="54">
        <f>+'CALCULO TARIFAS CC '!$S$45</f>
        <v>0.98429977792344414</v>
      </c>
      <c r="F148" s="55">
        <f t="shared" si="5"/>
        <v>134.4751</v>
      </c>
      <c r="G148" s="56">
        <f t="shared" si="1"/>
        <v>132.36000000000001</v>
      </c>
      <c r="H148" s="50" t="s">
        <v>285</v>
      </c>
      <c r="I148" s="27" t="s">
        <v>518</v>
      </c>
      <c r="J148" s="27">
        <v>134.4750573</v>
      </c>
      <c r="K148" s="39"/>
      <c r="L148" s="299"/>
      <c r="M148" s="300"/>
      <c r="N148" s="301"/>
      <c r="O148" s="301"/>
      <c r="P148" s="301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s="210" customFormat="1" x14ac:dyDescent="0.25">
      <c r="A149" s="312">
        <f t="shared" si="10"/>
        <v>147</v>
      </c>
      <c r="B149" s="309"/>
      <c r="C149" s="53" t="str">
        <f t="shared" si="6"/>
        <v>6UHHINNEX67</v>
      </c>
      <c r="D149" s="53"/>
      <c r="E149" s="54">
        <f>+'CALCULO TARIFAS CC '!$S$45</f>
        <v>0.98429977792344414</v>
      </c>
      <c r="F149" s="55">
        <f t="shared" si="5"/>
        <v>175.58019999999999</v>
      </c>
      <c r="G149" s="56">
        <f t="shared" si="1"/>
        <v>172.82</v>
      </c>
      <c r="H149" s="50" t="s">
        <v>285</v>
      </c>
      <c r="I149" s="27" t="s">
        <v>661</v>
      </c>
      <c r="J149" s="27">
        <v>175.5801549</v>
      </c>
      <c r="K149" s="39"/>
      <c r="L149" s="299"/>
      <c r="M149" s="300"/>
      <c r="N149" s="301"/>
      <c r="O149" s="301"/>
      <c r="P149" s="301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210" customFormat="1" x14ac:dyDescent="0.25">
      <c r="A150" s="312">
        <f t="shared" si="10"/>
        <v>148</v>
      </c>
      <c r="B150" s="309"/>
      <c r="C150" s="53" t="str">
        <f t="shared" si="6"/>
        <v>6UHOSPNAC</v>
      </c>
      <c r="D150" s="53"/>
      <c r="E150" s="54">
        <f>+'CALCULO TARIFAS CC '!$S$45</f>
        <v>0.98429977792344414</v>
      </c>
      <c r="F150" s="55">
        <f t="shared" si="5"/>
        <v>423.47109999999998</v>
      </c>
      <c r="G150" s="56">
        <f t="shared" si="1"/>
        <v>416.82</v>
      </c>
      <c r="H150" s="50" t="s">
        <v>285</v>
      </c>
      <c r="I150" s="27" t="s">
        <v>593</v>
      </c>
      <c r="J150" s="27">
        <v>423.47114490000001</v>
      </c>
      <c r="K150" s="39"/>
      <c r="L150" s="299"/>
      <c r="M150" s="300"/>
      <c r="N150" s="301"/>
      <c r="O150" s="301"/>
      <c r="P150" s="301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210" customFormat="1" x14ac:dyDescent="0.25">
      <c r="A151" s="312">
        <f t="shared" si="10"/>
        <v>149</v>
      </c>
      <c r="B151" s="309"/>
      <c r="C151" s="53" t="str">
        <f t="shared" si="6"/>
        <v>6UHPBONITA</v>
      </c>
      <c r="D151" s="53"/>
      <c r="E151" s="54">
        <f>+'CALCULO TARIFAS CC '!$S$45</f>
        <v>0.98429977792344414</v>
      </c>
      <c r="F151" s="55">
        <f t="shared" si="5"/>
        <v>507.2869</v>
      </c>
      <c r="G151" s="56">
        <f t="shared" si="1"/>
        <v>499.32</v>
      </c>
      <c r="H151" s="50" t="s">
        <v>285</v>
      </c>
      <c r="I151" s="27" t="s">
        <v>517</v>
      </c>
      <c r="J151" s="27">
        <v>507.28689250000002</v>
      </c>
      <c r="K151" s="39"/>
      <c r="L151" s="299"/>
      <c r="M151" s="300"/>
      <c r="N151" s="301"/>
      <c r="O151" s="301"/>
      <c r="P151" s="301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210" customFormat="1" x14ac:dyDescent="0.25">
      <c r="A152" s="312">
        <f t="shared" si="10"/>
        <v>150</v>
      </c>
      <c r="B152" s="309"/>
      <c r="C152" s="53" t="str">
        <f t="shared" si="6"/>
        <v>6UHPPACIFICA</v>
      </c>
      <c r="D152" s="53"/>
      <c r="E152" s="54">
        <f>+'CALCULO TARIFAS CC '!$S$45</f>
        <v>0.98429977792344414</v>
      </c>
      <c r="F152" s="55">
        <f t="shared" si="5"/>
        <v>636.26769999999999</v>
      </c>
      <c r="G152" s="56">
        <f t="shared" si="1"/>
        <v>626.28</v>
      </c>
      <c r="H152" s="50" t="s">
        <v>285</v>
      </c>
      <c r="I152" s="27" t="s">
        <v>55</v>
      </c>
      <c r="J152" s="27">
        <v>636.26771220000001</v>
      </c>
      <c r="K152" s="39"/>
      <c r="L152" s="299"/>
      <c r="M152" s="300"/>
      <c r="N152" s="301"/>
      <c r="O152" s="301"/>
      <c r="P152" s="301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210" customFormat="1" x14ac:dyDescent="0.25">
      <c r="A153" s="312">
        <f t="shared" si="10"/>
        <v>151</v>
      </c>
      <c r="B153" s="309"/>
      <c r="C153" s="53" t="str">
        <f t="shared" si="6"/>
        <v>6UHPROPERT</v>
      </c>
      <c r="D153" s="53"/>
      <c r="E153" s="54">
        <f>+'CALCULO TARIFAS CC '!$S$45</f>
        <v>0.98429977792344414</v>
      </c>
      <c r="F153" s="55">
        <f t="shared" si="5"/>
        <v>786.09090000000003</v>
      </c>
      <c r="G153" s="56">
        <f t="shared" si="1"/>
        <v>773.75</v>
      </c>
      <c r="H153" s="50" t="s">
        <v>285</v>
      </c>
      <c r="I153" s="27" t="s">
        <v>594</v>
      </c>
      <c r="J153" s="27">
        <v>786.09094589999995</v>
      </c>
      <c r="K153" s="39"/>
      <c r="L153" s="299"/>
      <c r="M153" s="300"/>
      <c r="N153" s="301"/>
      <c r="O153" s="301"/>
      <c r="P153" s="301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s="210" customFormat="1" x14ac:dyDescent="0.25">
      <c r="A154" s="312">
        <f t="shared" si="10"/>
        <v>152</v>
      </c>
      <c r="B154" s="309"/>
      <c r="C154" s="53" t="str">
        <f t="shared" si="6"/>
        <v>6UHRIANTOC</v>
      </c>
      <c r="D154" s="53"/>
      <c r="E154" s="54">
        <f>+'CALCULO TARIFAS CC '!$S$45</f>
        <v>0.98429977792344414</v>
      </c>
      <c r="F154" s="55">
        <f t="shared" si="5"/>
        <v>215.3921</v>
      </c>
      <c r="G154" s="56">
        <f t="shared" si="1"/>
        <v>212.01</v>
      </c>
      <c r="H154" s="50" t="s">
        <v>285</v>
      </c>
      <c r="I154" s="27" t="s">
        <v>504</v>
      </c>
      <c r="J154" s="27">
        <v>215.39209360000001</v>
      </c>
      <c r="K154" s="39"/>
      <c r="L154" s="299"/>
      <c r="M154" s="300"/>
      <c r="N154" s="301"/>
      <c r="O154" s="301"/>
      <c r="P154" s="301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s="210" customFormat="1" x14ac:dyDescent="0.25">
      <c r="A155" s="312">
        <f t="shared" si="10"/>
        <v>153</v>
      </c>
      <c r="B155" s="309"/>
      <c r="C155" s="53" t="str">
        <f t="shared" si="6"/>
        <v>6UHSANFE20</v>
      </c>
      <c r="D155" s="53"/>
      <c r="E155" s="54">
        <f>+'CALCULO TARIFAS CC '!$S$45</f>
        <v>0.98429977792344414</v>
      </c>
      <c r="F155" s="55">
        <f t="shared" si="5"/>
        <v>123.18519999999999</v>
      </c>
      <c r="G155" s="56">
        <f t="shared" si="1"/>
        <v>121.25</v>
      </c>
      <c r="H155" s="50" t="s">
        <v>285</v>
      </c>
      <c r="I155" s="27" t="s">
        <v>662</v>
      </c>
      <c r="J155" s="27">
        <v>123.1851549</v>
      </c>
      <c r="K155" s="39"/>
      <c r="L155" s="299"/>
      <c r="M155" s="300"/>
      <c r="N155" s="301"/>
      <c r="O155" s="301"/>
      <c r="P155" s="301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s="210" customFormat="1" x14ac:dyDescent="0.25">
      <c r="A156" s="312">
        <f t="shared" si="10"/>
        <v>154</v>
      </c>
      <c r="B156" s="309"/>
      <c r="C156" s="53" t="str">
        <f t="shared" si="6"/>
        <v>6UHSMARIA</v>
      </c>
      <c r="D156" s="53"/>
      <c r="E156" s="54">
        <f>+'CALCULO TARIFAS CC '!$S$45</f>
        <v>0.98429977792344414</v>
      </c>
      <c r="F156" s="55">
        <f t="shared" si="5"/>
        <v>251.71789999999999</v>
      </c>
      <c r="G156" s="56">
        <f t="shared" si="1"/>
        <v>247.77</v>
      </c>
      <c r="H156" s="50" t="s">
        <v>285</v>
      </c>
      <c r="I156" s="27" t="s">
        <v>595</v>
      </c>
      <c r="J156" s="27">
        <v>251.71787499999999</v>
      </c>
      <c r="K156" s="39"/>
      <c r="L156" s="299"/>
      <c r="M156" s="300"/>
      <c r="N156" s="301"/>
      <c r="O156" s="301"/>
      <c r="P156" s="301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s="210" customFormat="1" x14ac:dyDescent="0.25">
      <c r="A157" s="312">
        <f t="shared" si="10"/>
        <v>155</v>
      </c>
      <c r="B157" s="309"/>
      <c r="C157" s="53" t="str">
        <f t="shared" si="6"/>
        <v>6GHTERIBE</v>
      </c>
      <c r="D157" s="53"/>
      <c r="E157" s="54">
        <f>+'CALCULO TARIFAS CC '!$S$45</f>
        <v>0.98429977792344414</v>
      </c>
      <c r="F157" s="55">
        <f t="shared" si="5"/>
        <v>6.3193999999999999</v>
      </c>
      <c r="G157" s="56">
        <f t="shared" si="1"/>
        <v>6.22</v>
      </c>
      <c r="H157" s="50" t="s">
        <v>285</v>
      </c>
      <c r="I157" s="39" t="s">
        <v>456</v>
      </c>
      <c r="J157" s="39">
        <v>6.3193659999999996</v>
      </c>
      <c r="K157" s="39"/>
      <c r="L157" s="299"/>
      <c r="M157" s="300"/>
      <c r="N157" s="301"/>
      <c r="O157" s="301"/>
      <c r="P157" s="301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s="218" customFormat="1" x14ac:dyDescent="0.25">
      <c r="A158" s="312">
        <f t="shared" si="10"/>
        <v>156</v>
      </c>
      <c r="B158" s="309"/>
      <c r="C158" s="53" t="str">
        <f t="shared" si="6"/>
        <v>6UHWESTINCE</v>
      </c>
      <c r="D158" s="53"/>
      <c r="E158" s="54">
        <f>+'CALCULO TARIFAS CC '!$S$45</f>
        <v>0.98429977792344414</v>
      </c>
      <c r="F158" s="55">
        <f t="shared" ref="F158:F206" si="11">ROUND(J158,4)</f>
        <v>256.46179999999998</v>
      </c>
      <c r="G158" s="56">
        <f t="shared" ref="G158:G206" si="12">+ROUND(F158*E158,2)</f>
        <v>252.44</v>
      </c>
      <c r="H158" s="50" t="s">
        <v>285</v>
      </c>
      <c r="I158" s="39" t="s">
        <v>663</v>
      </c>
      <c r="J158" s="39">
        <v>256.46181280000002</v>
      </c>
      <c r="K158" s="39"/>
      <c r="L158" s="299"/>
      <c r="M158" s="300"/>
      <c r="N158" s="301"/>
      <c r="O158" s="301"/>
      <c r="P158" s="301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s="218" customFormat="1" x14ac:dyDescent="0.25">
      <c r="A159" s="312">
        <f t="shared" si="10"/>
        <v>157</v>
      </c>
      <c r="B159" s="309"/>
      <c r="C159" s="53" t="str">
        <f t="shared" si="6"/>
        <v>6UHWYND_AB</v>
      </c>
      <c r="D159" s="53"/>
      <c r="E159" s="54">
        <f>+'CALCULO TARIFAS CC '!$S$45</f>
        <v>0.98429977792344414</v>
      </c>
      <c r="F159" s="55">
        <f t="shared" si="11"/>
        <v>383.32490000000001</v>
      </c>
      <c r="G159" s="56">
        <f t="shared" si="12"/>
        <v>377.31</v>
      </c>
      <c r="H159" s="50" t="s">
        <v>285</v>
      </c>
      <c r="I159" s="39" t="s">
        <v>496</v>
      </c>
      <c r="J159" s="39">
        <v>383.3248615</v>
      </c>
      <c r="K159" s="39"/>
      <c r="L159" s="299"/>
      <c r="M159" s="300"/>
      <c r="N159" s="301"/>
      <c r="O159" s="301"/>
      <c r="P159" s="301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s="218" customFormat="1" x14ac:dyDescent="0.25">
      <c r="A160" s="312">
        <f t="shared" si="10"/>
        <v>158</v>
      </c>
      <c r="B160" s="309"/>
      <c r="C160" s="53" t="str">
        <f t="shared" si="6"/>
        <v>6UICEGAMING</v>
      </c>
      <c r="D160" s="53"/>
      <c r="E160" s="54">
        <f>+'CALCULO TARIFAS CC '!$S$45</f>
        <v>0.98429977792344414</v>
      </c>
      <c r="F160" s="55">
        <f t="shared" si="11"/>
        <v>243.51249999999999</v>
      </c>
      <c r="G160" s="56">
        <f t="shared" si="12"/>
        <v>239.69</v>
      </c>
      <c r="H160" s="50" t="s">
        <v>285</v>
      </c>
      <c r="I160" s="39" t="s">
        <v>597</v>
      </c>
      <c r="J160" s="39">
        <v>243.51254180000001</v>
      </c>
      <c r="K160" s="39"/>
      <c r="L160" s="299"/>
      <c r="M160" s="300"/>
      <c r="N160" s="301"/>
      <c r="O160" s="301"/>
      <c r="P160" s="301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s="218" customFormat="1" x14ac:dyDescent="0.25">
      <c r="A161" s="312">
        <f t="shared" si="10"/>
        <v>159</v>
      </c>
      <c r="B161" s="309"/>
      <c r="C161" s="53" t="str">
        <f t="shared" si="6"/>
        <v>6UINDAGUAD</v>
      </c>
      <c r="D161" s="53"/>
      <c r="E161" s="54">
        <f>+'CALCULO TARIFAS CC '!$S$45</f>
        <v>0.98429977792344414</v>
      </c>
      <c r="F161" s="55">
        <f t="shared" si="11"/>
        <v>114.0278</v>
      </c>
      <c r="G161" s="56">
        <f t="shared" si="12"/>
        <v>112.24</v>
      </c>
      <c r="H161" s="50" t="s">
        <v>285</v>
      </c>
      <c r="I161" s="39" t="s">
        <v>578</v>
      </c>
      <c r="J161" s="39">
        <v>114.027765</v>
      </c>
      <c r="K161" s="39"/>
      <c r="L161" s="299"/>
      <c r="M161" s="300"/>
      <c r="N161" s="301"/>
      <c r="O161" s="301"/>
      <c r="P161" s="301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s="218" customFormat="1" x14ac:dyDescent="0.25">
      <c r="A162" s="312">
        <f t="shared" si="10"/>
        <v>160</v>
      </c>
      <c r="B162" s="309"/>
      <c r="C162" s="53" t="str">
        <f t="shared" si="6"/>
        <v>6UINDALANJ</v>
      </c>
      <c r="D162" s="53"/>
      <c r="E162" s="54">
        <f>+'CALCULO TARIFAS CC '!$S$45</f>
        <v>0.98429977792344414</v>
      </c>
      <c r="F162" s="55">
        <f t="shared" si="11"/>
        <v>100.5977</v>
      </c>
      <c r="G162" s="56">
        <f t="shared" si="12"/>
        <v>99.02</v>
      </c>
      <c r="H162" s="50" t="s">
        <v>285</v>
      </c>
      <c r="I162" s="39" t="s">
        <v>579</v>
      </c>
      <c r="J162" s="39">
        <v>100.59769</v>
      </c>
      <c r="K162" s="39"/>
      <c r="L162" s="299"/>
      <c r="M162" s="300"/>
      <c r="N162" s="301"/>
      <c r="O162" s="301"/>
      <c r="P162" s="301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s="218" customFormat="1" x14ac:dyDescent="0.25">
      <c r="A163" s="312">
        <f t="shared" si="10"/>
        <v>161</v>
      </c>
      <c r="B163" s="309"/>
      <c r="C163" s="53" t="str">
        <f t="shared" si="6"/>
        <v>6UINDESPIN</v>
      </c>
      <c r="D163" s="53"/>
      <c r="E163" s="54">
        <f>+'CALCULO TARIFAS CC '!$S$45</f>
        <v>0.98429977792344414</v>
      </c>
      <c r="F163" s="55">
        <f t="shared" si="11"/>
        <v>114.119</v>
      </c>
      <c r="G163" s="56">
        <f t="shared" si="12"/>
        <v>112.33</v>
      </c>
      <c r="H163" s="50" t="s">
        <v>285</v>
      </c>
      <c r="I163" s="39" t="s">
        <v>577</v>
      </c>
      <c r="J163" s="39">
        <v>114.1190186</v>
      </c>
      <c r="K163" s="39"/>
      <c r="L163" s="299"/>
      <c r="M163" s="300"/>
      <c r="N163" s="301"/>
      <c r="O163" s="301"/>
      <c r="P163" s="301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s="218" customFormat="1" x14ac:dyDescent="0.25">
      <c r="A164" s="312">
        <f t="shared" si="10"/>
        <v>162</v>
      </c>
      <c r="B164" s="309"/>
      <c r="C164" s="53" t="str">
        <f t="shared" si="6"/>
        <v>6UINDOFIC</v>
      </c>
      <c r="D164" s="53"/>
      <c r="E164" s="54">
        <f>+'CALCULO TARIFAS CC '!$S$45</f>
        <v>0.98429977792344414</v>
      </c>
      <c r="F164" s="55">
        <f t="shared" si="11"/>
        <v>59.673900000000003</v>
      </c>
      <c r="G164" s="56">
        <f t="shared" si="12"/>
        <v>58.74</v>
      </c>
      <c r="H164" s="50" t="s">
        <v>285</v>
      </c>
      <c r="I164" s="39" t="s">
        <v>572</v>
      </c>
      <c r="J164" s="39">
        <v>59.673948600000003</v>
      </c>
      <c r="K164" s="39"/>
      <c r="L164" s="299"/>
      <c r="M164" s="300"/>
      <c r="N164" s="301"/>
      <c r="O164" s="301"/>
      <c r="P164" s="301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s="274" customFormat="1" x14ac:dyDescent="0.25">
      <c r="A165" s="312">
        <f t="shared" si="10"/>
        <v>163</v>
      </c>
      <c r="B165" s="309"/>
      <c r="C165" s="53" t="str">
        <f t="shared" si="6"/>
        <v>6UINDTOC</v>
      </c>
      <c r="D165" s="53"/>
      <c r="E165" s="54">
        <f>+'CALCULO TARIFAS CC '!$S$45</f>
        <v>0.98429977792344414</v>
      </c>
      <c r="F165" s="55">
        <f t="shared" ref="F165:F190" si="13">ROUND(J165,4)</f>
        <v>108.33880000000001</v>
      </c>
      <c r="G165" s="56">
        <f t="shared" ref="G165:G190" si="14">+ROUND(F165*E165,2)</f>
        <v>106.64</v>
      </c>
      <c r="H165" s="50" t="s">
        <v>285</v>
      </c>
      <c r="I165" s="39" t="s">
        <v>566</v>
      </c>
      <c r="J165" s="39">
        <v>108.3388214</v>
      </c>
      <c r="K165" s="39"/>
      <c r="L165" s="299"/>
      <c r="M165" s="300"/>
      <c r="N165" s="301"/>
      <c r="O165" s="301"/>
      <c r="P165" s="301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s="274" customFormat="1" x14ac:dyDescent="0.25">
      <c r="A166" s="312">
        <f t="shared" si="10"/>
        <v>164</v>
      </c>
      <c r="B166" s="309"/>
      <c r="C166" s="53" t="str">
        <f t="shared" si="6"/>
        <v>6UINVMEREG</v>
      </c>
      <c r="D166" s="53"/>
      <c r="E166" s="54">
        <f>+'CALCULO TARIFAS CC '!$S$45</f>
        <v>0.98429977792344414</v>
      </c>
      <c r="F166" s="55">
        <f t="shared" si="13"/>
        <v>41.254199999999997</v>
      </c>
      <c r="G166" s="56">
        <f t="shared" si="14"/>
        <v>40.61</v>
      </c>
      <c r="H166" s="50" t="s">
        <v>285</v>
      </c>
      <c r="I166" s="39" t="s">
        <v>698</v>
      </c>
      <c r="J166" s="39">
        <v>41.254176299999997</v>
      </c>
      <c r="K166" s="39"/>
      <c r="L166" s="299"/>
      <c r="M166" s="300"/>
      <c r="N166" s="301"/>
      <c r="O166" s="301"/>
      <c r="P166" s="301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s="274" customFormat="1" x14ac:dyDescent="0.25">
      <c r="A167" s="312">
        <f t="shared" si="10"/>
        <v>165</v>
      </c>
      <c r="B167" s="309"/>
      <c r="C167" s="53" t="str">
        <f t="shared" si="6"/>
        <v>6UIPEL</v>
      </c>
      <c r="D167" s="53"/>
      <c r="E167" s="54">
        <f>+'CALCULO TARIFAS CC '!$S$45</f>
        <v>0.98429977792344414</v>
      </c>
      <c r="F167" s="55">
        <f t="shared" si="13"/>
        <v>998.11760000000004</v>
      </c>
      <c r="G167" s="56">
        <f t="shared" si="14"/>
        <v>982.45</v>
      </c>
      <c r="H167" s="50" t="s">
        <v>285</v>
      </c>
      <c r="I167" s="39" t="s">
        <v>56</v>
      </c>
      <c r="J167" s="39">
        <v>998.11756849999995</v>
      </c>
      <c r="K167" s="39"/>
      <c r="L167" s="299"/>
      <c r="M167" s="300"/>
      <c r="N167" s="301"/>
      <c r="O167" s="301"/>
      <c r="P167" s="301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s="274" customFormat="1" x14ac:dyDescent="0.25">
      <c r="A168" s="312">
        <f t="shared" si="10"/>
        <v>166</v>
      </c>
      <c r="B168" s="309"/>
      <c r="C168" s="53" t="str">
        <f t="shared" si="6"/>
        <v>6UIRONTOWER</v>
      </c>
      <c r="D168" s="53"/>
      <c r="E168" s="54">
        <f>+'CALCULO TARIFAS CC '!$S$45</f>
        <v>0.98429977792344414</v>
      </c>
      <c r="F168" s="55">
        <f t="shared" si="13"/>
        <v>648.74680000000001</v>
      </c>
      <c r="G168" s="56">
        <f t="shared" si="14"/>
        <v>638.55999999999995</v>
      </c>
      <c r="H168" s="50" t="s">
        <v>285</v>
      </c>
      <c r="I168" s="39" t="s">
        <v>604</v>
      </c>
      <c r="J168" s="39">
        <v>648.746756</v>
      </c>
      <c r="K168" s="39"/>
      <c r="L168" s="299"/>
      <c r="M168" s="300"/>
      <c r="N168" s="301"/>
      <c r="O168" s="301"/>
      <c r="P168" s="301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s="274" customFormat="1" x14ac:dyDescent="0.25">
      <c r="A169" s="312">
        <f t="shared" si="10"/>
        <v>167</v>
      </c>
      <c r="B169" s="309"/>
      <c r="C169" s="53" t="str">
        <f t="shared" si="6"/>
        <v>6GJINRO</v>
      </c>
      <c r="D169" s="53"/>
      <c r="E169" s="54">
        <f>+'CALCULO TARIFAS CC '!$S$45</f>
        <v>0.98429977792344414</v>
      </c>
      <c r="F169" s="55">
        <f t="shared" si="13"/>
        <v>278.60930000000002</v>
      </c>
      <c r="G169" s="56">
        <f t="shared" si="14"/>
        <v>274.24</v>
      </c>
      <c r="H169" s="50" t="s">
        <v>285</v>
      </c>
      <c r="I169" s="39" t="s">
        <v>31</v>
      </c>
      <c r="J169" s="39">
        <v>278.60931599999998</v>
      </c>
      <c r="K169" s="39"/>
      <c r="L169" s="299"/>
      <c r="M169" s="300"/>
      <c r="N169" s="301"/>
      <c r="O169" s="301"/>
      <c r="P169" s="301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s="274" customFormat="1" x14ac:dyDescent="0.25">
      <c r="A170" s="312">
        <f t="shared" si="10"/>
        <v>168</v>
      </c>
      <c r="B170" s="309"/>
      <c r="C170" s="53" t="str">
        <f t="shared" si="6"/>
        <v>6UJPRADO</v>
      </c>
      <c r="D170" s="53"/>
      <c r="E170" s="54">
        <f>+'CALCULO TARIFAS CC '!$S$45</f>
        <v>0.98429977792344414</v>
      </c>
      <c r="F170" s="55">
        <f t="shared" si="13"/>
        <v>696.10860000000002</v>
      </c>
      <c r="G170" s="56">
        <f t="shared" si="14"/>
        <v>685.18</v>
      </c>
      <c r="H170" s="50" t="s">
        <v>285</v>
      </c>
      <c r="I170" s="39" t="s">
        <v>412</v>
      </c>
      <c r="J170" s="39">
        <v>696.10857810000005</v>
      </c>
      <c r="K170" s="39"/>
      <c r="L170" s="299"/>
      <c r="M170" s="300"/>
      <c r="N170" s="301"/>
      <c r="O170" s="301"/>
      <c r="P170" s="301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s="274" customFormat="1" x14ac:dyDescent="0.25">
      <c r="A171" s="312">
        <f t="shared" si="10"/>
        <v>169</v>
      </c>
      <c r="B171" s="309"/>
      <c r="C171" s="53" t="str">
        <f t="shared" si="6"/>
        <v>6ULAPRENSA</v>
      </c>
      <c r="D171" s="53"/>
      <c r="E171" s="54">
        <f>+'CALCULO TARIFAS CC '!$S$45</f>
        <v>0.98429977792344414</v>
      </c>
      <c r="F171" s="55">
        <f t="shared" si="13"/>
        <v>274.89190000000002</v>
      </c>
      <c r="G171" s="56">
        <f t="shared" si="14"/>
        <v>270.58</v>
      </c>
      <c r="H171" s="50" t="s">
        <v>285</v>
      </c>
      <c r="I171" s="39" t="s">
        <v>365</v>
      </c>
      <c r="J171" s="39">
        <v>274.89190869999999</v>
      </c>
      <c r="K171" s="39"/>
      <c r="L171" s="299"/>
      <c r="M171" s="300"/>
      <c r="N171" s="301"/>
      <c r="O171" s="301"/>
      <c r="P171" s="301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s="274" customFormat="1" x14ac:dyDescent="0.25">
      <c r="A172" s="312">
        <f t="shared" si="10"/>
        <v>170</v>
      </c>
      <c r="B172" s="309"/>
      <c r="C172" s="53" t="str">
        <f t="shared" si="6"/>
        <v>6ULAVERY96</v>
      </c>
      <c r="D172" s="53"/>
      <c r="E172" s="54">
        <f>+'CALCULO TARIFAS CC '!$S$45</f>
        <v>0.98429977792344414</v>
      </c>
      <c r="F172" s="55">
        <f t="shared" si="13"/>
        <v>251.666</v>
      </c>
      <c r="G172" s="56">
        <f t="shared" si="14"/>
        <v>247.71</v>
      </c>
      <c r="H172" s="50" t="s">
        <v>285</v>
      </c>
      <c r="I172" s="39" t="s">
        <v>664</v>
      </c>
      <c r="J172" s="39">
        <v>251.66597590000001</v>
      </c>
      <c r="K172" s="39"/>
      <c r="L172" s="299"/>
      <c r="M172" s="300"/>
      <c r="N172" s="301"/>
      <c r="O172" s="301"/>
      <c r="P172" s="301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s="274" customFormat="1" x14ac:dyDescent="0.25">
      <c r="A173" s="312">
        <f t="shared" ref="A173:A236" si="15">A172+1</f>
        <v>171</v>
      </c>
      <c r="B173" s="309"/>
      <c r="C173" s="53" t="str">
        <f t="shared" si="6"/>
        <v>6ULEMERID</v>
      </c>
      <c r="D173" s="53"/>
      <c r="E173" s="54">
        <f>+'CALCULO TARIFAS CC '!$S$45</f>
        <v>0.98429977792344414</v>
      </c>
      <c r="F173" s="55">
        <f t="shared" si="13"/>
        <v>190.2704</v>
      </c>
      <c r="G173" s="56">
        <f t="shared" si="14"/>
        <v>187.28</v>
      </c>
      <c r="H173" s="50" t="s">
        <v>285</v>
      </c>
      <c r="I173" s="39" t="s">
        <v>520</v>
      </c>
      <c r="J173" s="39">
        <v>190.27043259999999</v>
      </c>
      <c r="K173" s="39"/>
      <c r="L173" s="299"/>
      <c r="M173" s="300"/>
      <c r="N173" s="301"/>
      <c r="O173" s="301"/>
      <c r="P173" s="301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s="274" customFormat="1" x14ac:dyDescent="0.25">
      <c r="A174" s="312">
        <f t="shared" si="15"/>
        <v>172</v>
      </c>
      <c r="B174" s="309"/>
      <c r="C174" s="53" t="str">
        <f t="shared" si="6"/>
        <v>6GLLSSOLP01</v>
      </c>
      <c r="D174" s="53"/>
      <c r="E174" s="54">
        <f>+'CALCULO TARIFAS CC '!$S$45</f>
        <v>0.98429977792344414</v>
      </c>
      <c r="F174" s="55">
        <f t="shared" si="13"/>
        <v>10.5456</v>
      </c>
      <c r="G174" s="56">
        <f t="shared" si="14"/>
        <v>10.38</v>
      </c>
      <c r="H174" s="50" t="s">
        <v>285</v>
      </c>
      <c r="I174" s="39" t="s">
        <v>32</v>
      </c>
      <c r="J174" s="39">
        <v>10.54562</v>
      </c>
      <c r="K174" s="39"/>
      <c r="L174" s="299"/>
      <c r="M174" s="300"/>
      <c r="N174" s="301"/>
      <c r="O174" s="301"/>
      <c r="P174" s="301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s="274" customFormat="1" x14ac:dyDescent="0.25">
      <c r="A175" s="312">
        <f t="shared" si="15"/>
        <v>173</v>
      </c>
      <c r="B175" s="309"/>
      <c r="C175" s="53" t="str">
        <f t="shared" si="6"/>
        <v>6GLLSSOLP03</v>
      </c>
      <c r="D175" s="53"/>
      <c r="E175" s="54">
        <f>+'CALCULO TARIFAS CC '!$S$45</f>
        <v>0.98429977792344414</v>
      </c>
      <c r="F175" s="55">
        <f t="shared" si="13"/>
        <v>10.155900000000001</v>
      </c>
      <c r="G175" s="56">
        <f t="shared" si="14"/>
        <v>10</v>
      </c>
      <c r="H175" s="50" t="s">
        <v>285</v>
      </c>
      <c r="I175" s="39" t="s">
        <v>33</v>
      </c>
      <c r="J175" s="39">
        <v>10.1559098</v>
      </c>
      <c r="K175" s="39"/>
      <c r="L175" s="299"/>
      <c r="M175" s="300"/>
      <c r="N175" s="301"/>
      <c r="O175" s="301"/>
      <c r="P175" s="301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s="274" customFormat="1" x14ac:dyDescent="0.25">
      <c r="A176" s="312">
        <f t="shared" si="15"/>
        <v>174</v>
      </c>
      <c r="B176" s="309"/>
      <c r="C176" s="53" t="str">
        <f t="shared" si="6"/>
        <v>6GLLSSOLP04</v>
      </c>
      <c r="D176" s="53"/>
      <c r="E176" s="54">
        <f>+'CALCULO TARIFAS CC '!$S$45</f>
        <v>0.98429977792344414</v>
      </c>
      <c r="F176" s="55">
        <f t="shared" si="13"/>
        <v>9.3039000000000005</v>
      </c>
      <c r="G176" s="56">
        <f t="shared" si="14"/>
        <v>9.16</v>
      </c>
      <c r="H176" s="50" t="s">
        <v>285</v>
      </c>
      <c r="I176" s="39" t="s">
        <v>34</v>
      </c>
      <c r="J176" s="39">
        <v>9.3038989000000001</v>
      </c>
      <c r="K176" s="39"/>
      <c r="L176" s="299"/>
      <c r="M176" s="300"/>
      <c r="N176" s="301"/>
      <c r="O176" s="301"/>
      <c r="P176" s="301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s="274" customFormat="1" x14ac:dyDescent="0.25">
      <c r="A177" s="312">
        <f t="shared" si="15"/>
        <v>175</v>
      </c>
      <c r="B177" s="309"/>
      <c r="C177" s="53" t="str">
        <f t="shared" si="6"/>
        <v>6ULUNAB</v>
      </c>
      <c r="D177" s="53"/>
      <c r="E177" s="54">
        <f>+'CALCULO TARIFAS CC '!$S$45</f>
        <v>0.98429977792344414</v>
      </c>
      <c r="F177" s="55">
        <f t="shared" si="13"/>
        <v>325.61410000000001</v>
      </c>
      <c r="G177" s="56">
        <f t="shared" si="14"/>
        <v>320.5</v>
      </c>
      <c r="H177" s="50" t="s">
        <v>285</v>
      </c>
      <c r="I177" s="39" t="s">
        <v>665</v>
      </c>
      <c r="J177" s="39">
        <v>325.61410979999999</v>
      </c>
      <c r="K177" s="39"/>
      <c r="L177" s="299"/>
      <c r="M177" s="300"/>
      <c r="N177" s="301"/>
      <c r="O177" s="301"/>
      <c r="P177" s="301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274" customFormat="1" x14ac:dyDescent="0.25">
      <c r="A178" s="312">
        <f t="shared" si="15"/>
        <v>176</v>
      </c>
      <c r="B178" s="309"/>
      <c r="C178" s="53" t="str">
        <f t="shared" si="6"/>
        <v>6UMACELLO</v>
      </c>
      <c r="D178" s="53"/>
      <c r="E178" s="54">
        <f>+'CALCULO TARIFAS CC '!$S$45</f>
        <v>0.98429977792344414</v>
      </c>
      <c r="F178" s="55">
        <f t="shared" si="13"/>
        <v>762.77319999999997</v>
      </c>
      <c r="G178" s="56">
        <f t="shared" si="14"/>
        <v>750.8</v>
      </c>
      <c r="H178" s="50" t="s">
        <v>285</v>
      </c>
      <c r="I178" s="39" t="s">
        <v>409</v>
      </c>
      <c r="J178" s="39">
        <v>762.7731655</v>
      </c>
      <c r="K178" s="39"/>
      <c r="L178" s="299"/>
      <c r="M178" s="300"/>
      <c r="N178" s="301"/>
      <c r="O178" s="301"/>
      <c r="P178" s="301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s="274" customFormat="1" x14ac:dyDescent="0.25">
      <c r="A179" s="312">
        <f t="shared" si="15"/>
        <v>177</v>
      </c>
      <c r="B179" s="309"/>
      <c r="C179" s="53" t="str">
        <f t="shared" si="6"/>
        <v>6UMAJESTIC</v>
      </c>
      <c r="D179" s="53"/>
      <c r="E179" s="54">
        <f>+'CALCULO TARIFAS CC '!$S$45</f>
        <v>0.98429977792344414</v>
      </c>
      <c r="F179" s="55">
        <f t="shared" si="13"/>
        <v>260.31709999999998</v>
      </c>
      <c r="G179" s="56">
        <f t="shared" si="14"/>
        <v>256.23</v>
      </c>
      <c r="H179" s="50" t="s">
        <v>285</v>
      </c>
      <c r="I179" s="39" t="s">
        <v>598</v>
      </c>
      <c r="J179" s="39">
        <v>260.3170945</v>
      </c>
      <c r="K179" s="39"/>
      <c r="L179" s="299"/>
      <c r="M179" s="300"/>
      <c r="N179" s="301"/>
      <c r="O179" s="301"/>
      <c r="P179" s="301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s="274" customFormat="1" x14ac:dyDescent="0.25">
      <c r="A180" s="312">
        <f t="shared" si="15"/>
        <v>178</v>
      </c>
      <c r="B180" s="309"/>
      <c r="C180" s="53" t="str">
        <f t="shared" si="6"/>
        <v>6UMIT</v>
      </c>
      <c r="D180" s="53"/>
      <c r="E180" s="54">
        <f>+'CALCULO TARIFAS CC '!$S$45</f>
        <v>0.98429977792344414</v>
      </c>
      <c r="F180" s="55">
        <f t="shared" si="13"/>
        <v>4705.518</v>
      </c>
      <c r="G180" s="56">
        <f t="shared" si="14"/>
        <v>4631.6400000000003</v>
      </c>
      <c r="H180" s="50" t="s">
        <v>285</v>
      </c>
      <c r="I180" s="39" t="s">
        <v>62</v>
      </c>
      <c r="J180" s="39">
        <v>4705.5179666000004</v>
      </c>
      <c r="K180" s="39"/>
      <c r="L180" s="299"/>
      <c r="M180" s="300"/>
      <c r="N180" s="301"/>
      <c r="O180" s="301"/>
      <c r="P180" s="301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s="274" customFormat="1" x14ac:dyDescent="0.25">
      <c r="A181" s="312">
        <f t="shared" si="15"/>
        <v>179</v>
      </c>
      <c r="B181" s="309"/>
      <c r="C181" s="53" t="str">
        <f t="shared" si="6"/>
        <v>6UMARRAI43</v>
      </c>
      <c r="D181" s="53"/>
      <c r="E181" s="54">
        <f>+'CALCULO TARIFAS CC '!$S$45</f>
        <v>0.98429977792344414</v>
      </c>
      <c r="F181" s="55">
        <f t="shared" si="13"/>
        <v>270.38659999999999</v>
      </c>
      <c r="G181" s="56">
        <f t="shared" si="14"/>
        <v>266.14</v>
      </c>
      <c r="H181" s="50" t="s">
        <v>285</v>
      </c>
      <c r="I181" s="39" t="s">
        <v>666</v>
      </c>
      <c r="J181" s="39">
        <v>270.38663930000001</v>
      </c>
      <c r="K181" s="39"/>
      <c r="L181" s="299"/>
      <c r="M181" s="300"/>
      <c r="N181" s="301"/>
      <c r="O181" s="301"/>
      <c r="P181" s="301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274" customFormat="1" x14ac:dyDescent="0.25">
      <c r="A182" s="312">
        <f t="shared" si="15"/>
        <v>180</v>
      </c>
      <c r="B182" s="309"/>
      <c r="C182" s="53" t="str">
        <f t="shared" si="6"/>
        <v>6UMARRIOTT</v>
      </c>
      <c r="D182" s="53"/>
      <c r="E182" s="54">
        <f>+'CALCULO TARIFAS CC '!$S$45</f>
        <v>0.98429977792344414</v>
      </c>
      <c r="F182" s="55">
        <f t="shared" si="13"/>
        <v>148.36279999999999</v>
      </c>
      <c r="G182" s="56">
        <f t="shared" si="14"/>
        <v>146.03</v>
      </c>
      <c r="H182" s="50" t="s">
        <v>285</v>
      </c>
      <c r="I182" s="39" t="s">
        <v>490</v>
      </c>
      <c r="J182" s="39">
        <v>148.36278799999999</v>
      </c>
      <c r="K182" s="39"/>
      <c r="L182" s="299"/>
      <c r="M182" s="300"/>
      <c r="N182" s="301"/>
      <c r="O182" s="301"/>
      <c r="P182" s="301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274" customFormat="1" x14ac:dyDescent="0.25">
      <c r="A183" s="312">
        <f t="shared" si="15"/>
        <v>181</v>
      </c>
      <c r="B183" s="309"/>
      <c r="C183" s="53" t="str">
        <f t="shared" si="6"/>
        <v>6UMAZUL</v>
      </c>
      <c r="D183" s="53"/>
      <c r="E183" s="54">
        <f>+'CALCULO TARIFAS CC '!$S$45</f>
        <v>0.98429977792344414</v>
      </c>
      <c r="F183" s="55">
        <f t="shared" si="13"/>
        <v>351.67129999999997</v>
      </c>
      <c r="G183" s="56">
        <f t="shared" si="14"/>
        <v>346.15</v>
      </c>
      <c r="H183" s="50" t="s">
        <v>285</v>
      </c>
      <c r="I183" s="39" t="s">
        <v>487</v>
      </c>
      <c r="J183" s="39">
        <v>351.6712953</v>
      </c>
      <c r="K183" s="39"/>
      <c r="L183" s="299"/>
      <c r="M183" s="300"/>
      <c r="N183" s="301"/>
      <c r="O183" s="301"/>
      <c r="P183" s="301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274" customFormat="1" x14ac:dyDescent="0.25">
      <c r="A184" s="312">
        <f t="shared" si="15"/>
        <v>182</v>
      </c>
      <c r="B184" s="309"/>
      <c r="C184" s="53" t="str">
        <f t="shared" ref="C184:C247" si="16">I184</f>
        <v>6UMBGOLF92</v>
      </c>
      <c r="D184" s="53"/>
      <c r="E184" s="54">
        <f>+'CALCULO TARIFAS CC '!$S$45</f>
        <v>0.98429977792344414</v>
      </c>
      <c r="F184" s="55">
        <f t="shared" si="13"/>
        <v>137.65620000000001</v>
      </c>
      <c r="G184" s="56">
        <f t="shared" si="14"/>
        <v>135.49</v>
      </c>
      <c r="H184" s="50" t="s">
        <v>285</v>
      </c>
      <c r="I184" s="39" t="s">
        <v>699</v>
      </c>
      <c r="J184" s="39">
        <v>137.65618420000001</v>
      </c>
      <c r="K184" s="39"/>
      <c r="L184" s="299"/>
      <c r="M184" s="300"/>
      <c r="N184" s="301"/>
      <c r="O184" s="301"/>
      <c r="P184" s="301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s="274" customFormat="1" x14ac:dyDescent="0.25">
      <c r="A185" s="312">
        <f t="shared" si="15"/>
        <v>183</v>
      </c>
      <c r="B185" s="309"/>
      <c r="C185" s="53" t="str">
        <f t="shared" si="16"/>
        <v>6UMCALI43</v>
      </c>
      <c r="D185" s="53"/>
      <c r="E185" s="54">
        <f>+'CALCULO TARIFAS CC '!$S$45</f>
        <v>0.98429977792344414</v>
      </c>
      <c r="F185" s="55">
        <f t="shared" si="13"/>
        <v>41.184699999999999</v>
      </c>
      <c r="G185" s="56">
        <f t="shared" si="14"/>
        <v>40.54</v>
      </c>
      <c r="H185" s="50" t="s">
        <v>285</v>
      </c>
      <c r="I185" s="39" t="s">
        <v>700</v>
      </c>
      <c r="J185" s="39">
        <v>41.1846666</v>
      </c>
      <c r="K185" s="39"/>
      <c r="L185" s="299"/>
      <c r="M185" s="300"/>
      <c r="N185" s="301"/>
      <c r="O185" s="301"/>
      <c r="P185" s="301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s="274" customFormat="1" x14ac:dyDescent="0.25">
      <c r="A186" s="312">
        <f t="shared" si="15"/>
        <v>184</v>
      </c>
      <c r="B186" s="309"/>
      <c r="C186" s="53" t="str">
        <f t="shared" si="16"/>
        <v>6UMCALID42</v>
      </c>
      <c r="D186" s="53"/>
      <c r="E186" s="54">
        <f>+'CALCULO TARIFAS CC '!$S$45</f>
        <v>0.98429977792344414</v>
      </c>
      <c r="F186" s="55">
        <f t="shared" si="13"/>
        <v>159.0273</v>
      </c>
      <c r="G186" s="56">
        <f t="shared" si="14"/>
        <v>156.53</v>
      </c>
      <c r="H186" s="50" t="s">
        <v>285</v>
      </c>
      <c r="I186" s="39" t="s">
        <v>667</v>
      </c>
      <c r="J186" s="39">
        <v>159.02728719999999</v>
      </c>
      <c r="K186" s="39"/>
      <c r="L186" s="299"/>
      <c r="M186" s="300"/>
      <c r="N186" s="301"/>
      <c r="O186" s="301"/>
      <c r="P186" s="301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274" customFormat="1" x14ac:dyDescent="0.25">
      <c r="A187" s="312">
        <f t="shared" si="15"/>
        <v>185</v>
      </c>
      <c r="B187" s="309"/>
      <c r="C187" s="53" t="str">
        <f t="shared" si="16"/>
        <v>6UMCHITRE86</v>
      </c>
      <c r="D187" s="53"/>
      <c r="E187" s="54">
        <f>+'CALCULO TARIFAS CC '!$S$45</f>
        <v>0.98429977792344414</v>
      </c>
      <c r="F187" s="55">
        <f t="shared" si="13"/>
        <v>23.491599999999998</v>
      </c>
      <c r="G187" s="56">
        <f t="shared" si="14"/>
        <v>23.12</v>
      </c>
      <c r="H187" s="50" t="s">
        <v>285</v>
      </c>
      <c r="I187" s="39" t="s">
        <v>701</v>
      </c>
      <c r="J187" s="39">
        <v>23.491602799999999</v>
      </c>
      <c r="K187" s="39"/>
      <c r="L187" s="299"/>
      <c r="M187" s="300"/>
      <c r="N187" s="301"/>
      <c r="O187" s="301"/>
      <c r="P187" s="301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274" customFormat="1" x14ac:dyDescent="0.25">
      <c r="A188" s="312">
        <f t="shared" si="15"/>
        <v>186</v>
      </c>
      <c r="B188" s="309"/>
      <c r="C188" s="53" t="str">
        <f t="shared" si="16"/>
        <v>6UMCORO12</v>
      </c>
      <c r="D188" s="53"/>
      <c r="E188" s="54">
        <f>+'CALCULO TARIFAS CC '!$S$45</f>
        <v>0.98429977792344414</v>
      </c>
      <c r="F188" s="55">
        <f t="shared" si="13"/>
        <v>141.63720000000001</v>
      </c>
      <c r="G188" s="56">
        <f t="shared" si="14"/>
        <v>139.41</v>
      </c>
      <c r="H188" s="50" t="s">
        <v>285</v>
      </c>
      <c r="I188" s="39" t="s">
        <v>702</v>
      </c>
      <c r="J188" s="39">
        <v>141.63719789999999</v>
      </c>
      <c r="K188" s="39"/>
      <c r="L188" s="299"/>
      <c r="M188" s="300"/>
      <c r="N188" s="301"/>
      <c r="O188" s="301"/>
      <c r="P188" s="301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s="274" customFormat="1" x14ac:dyDescent="0.25">
      <c r="A189" s="312">
        <f t="shared" si="15"/>
        <v>187</v>
      </c>
      <c r="B189" s="309"/>
      <c r="C189" s="53" t="str">
        <f t="shared" si="16"/>
        <v>6UMED12OC</v>
      </c>
      <c r="D189" s="53"/>
      <c r="E189" s="54">
        <f>+'CALCULO TARIFAS CC '!$S$45</f>
        <v>0.98429977792344414</v>
      </c>
      <c r="F189" s="55">
        <f t="shared" si="13"/>
        <v>351.83420000000001</v>
      </c>
      <c r="G189" s="56">
        <f t="shared" si="14"/>
        <v>346.31</v>
      </c>
      <c r="H189" s="50" t="s">
        <v>285</v>
      </c>
      <c r="I189" s="39" t="s">
        <v>488</v>
      </c>
      <c r="J189" s="39">
        <v>351.83423140000002</v>
      </c>
      <c r="K189" s="39"/>
      <c r="L189" s="299"/>
      <c r="M189" s="300"/>
      <c r="N189" s="301"/>
      <c r="O189" s="301"/>
      <c r="P189" s="301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s="274" customFormat="1" x14ac:dyDescent="0.25">
      <c r="A190" s="312">
        <f t="shared" si="15"/>
        <v>188</v>
      </c>
      <c r="B190" s="309"/>
      <c r="C190" s="53" t="str">
        <f t="shared" si="16"/>
        <v>6UMEDCBAN</v>
      </c>
      <c r="D190" s="53"/>
      <c r="E190" s="54">
        <f>+'CALCULO TARIFAS CC '!$S$45</f>
        <v>0.98429977792344414</v>
      </c>
      <c r="F190" s="55">
        <f t="shared" si="13"/>
        <v>131.95150000000001</v>
      </c>
      <c r="G190" s="56">
        <f t="shared" si="14"/>
        <v>129.88</v>
      </c>
      <c r="H190" s="50" t="s">
        <v>285</v>
      </c>
      <c r="I190" s="39" t="s">
        <v>489</v>
      </c>
      <c r="J190" s="39">
        <v>131.95148119999999</v>
      </c>
      <c r="K190" s="39"/>
      <c r="L190" s="299"/>
      <c r="M190" s="300"/>
      <c r="N190" s="301"/>
      <c r="O190" s="301"/>
      <c r="P190" s="301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s="218" customFormat="1" x14ac:dyDescent="0.25">
      <c r="A191" s="312">
        <f t="shared" si="15"/>
        <v>189</v>
      </c>
      <c r="B191" s="309"/>
      <c r="C191" s="53" t="str">
        <f t="shared" si="16"/>
        <v>6UMEGAD</v>
      </c>
      <c r="D191" s="53"/>
      <c r="E191" s="54">
        <f>+'CALCULO TARIFAS CC '!$S$45</f>
        <v>0.98429977792344414</v>
      </c>
      <c r="F191" s="55">
        <f t="shared" si="11"/>
        <v>314.71260000000001</v>
      </c>
      <c r="G191" s="56">
        <f t="shared" si="12"/>
        <v>309.77</v>
      </c>
      <c r="H191" s="50" t="s">
        <v>285</v>
      </c>
      <c r="I191" s="39" t="s">
        <v>57</v>
      </c>
      <c r="J191" s="39">
        <v>314.71256849999997</v>
      </c>
      <c r="K191" s="39"/>
      <c r="L191" s="299"/>
      <c r="M191" s="300"/>
      <c r="N191" s="301"/>
      <c r="O191" s="301"/>
      <c r="P191" s="301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s="218" customFormat="1" x14ac:dyDescent="0.25">
      <c r="A192" s="312">
        <f t="shared" si="15"/>
        <v>190</v>
      </c>
      <c r="B192" s="309"/>
      <c r="C192" s="53" t="str">
        <f t="shared" si="16"/>
        <v>6UMEGAMALL</v>
      </c>
      <c r="D192" s="53"/>
      <c r="E192" s="54">
        <f>+'CALCULO TARIFAS CC '!$S$45</f>
        <v>0.98429977792344414</v>
      </c>
      <c r="F192" s="55">
        <f t="shared" si="11"/>
        <v>495.18900000000002</v>
      </c>
      <c r="G192" s="56">
        <f t="shared" si="12"/>
        <v>487.41</v>
      </c>
      <c r="H192" s="50" t="s">
        <v>285</v>
      </c>
      <c r="I192" s="39" t="s">
        <v>418</v>
      </c>
      <c r="J192" s="39">
        <v>495.1889827</v>
      </c>
      <c r="K192" s="39"/>
      <c r="L192" s="299"/>
      <c r="M192" s="300"/>
      <c r="N192" s="301"/>
      <c r="O192" s="301"/>
      <c r="P192" s="301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s="218" customFormat="1" x14ac:dyDescent="0.25">
      <c r="A193" s="312">
        <f t="shared" si="15"/>
        <v>191</v>
      </c>
      <c r="B193" s="309"/>
      <c r="C193" s="53" t="str">
        <f t="shared" si="16"/>
        <v>6UMELOEA</v>
      </c>
      <c r="D193" s="53"/>
      <c r="E193" s="54">
        <f>+'CALCULO TARIFAS CC '!$S$45</f>
        <v>0.98429977792344414</v>
      </c>
      <c r="F193" s="55">
        <f t="shared" si="11"/>
        <v>623.86479999999995</v>
      </c>
      <c r="G193" s="56">
        <f t="shared" si="12"/>
        <v>614.07000000000005</v>
      </c>
      <c r="H193" s="50" t="s">
        <v>285</v>
      </c>
      <c r="I193" s="39" t="s">
        <v>58</v>
      </c>
      <c r="J193" s="39">
        <v>623.86477219999995</v>
      </c>
      <c r="K193" s="39"/>
      <c r="L193" s="299"/>
      <c r="M193" s="300"/>
      <c r="N193" s="301"/>
      <c r="O193" s="301"/>
      <c r="P193" s="301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s="218" customFormat="1" x14ac:dyDescent="0.25">
      <c r="A194" s="312">
        <f t="shared" si="15"/>
        <v>192</v>
      </c>
      <c r="B194" s="309"/>
      <c r="C194" s="53" t="str">
        <f t="shared" si="16"/>
        <v>6UMELOMM</v>
      </c>
      <c r="D194" s="53"/>
      <c r="E194" s="54">
        <f>+'CALCULO TARIFAS CC '!$S$45</f>
        <v>0.98429977792344414</v>
      </c>
      <c r="F194" s="55">
        <f t="shared" si="11"/>
        <v>957.17909999999995</v>
      </c>
      <c r="G194" s="56">
        <f t="shared" si="12"/>
        <v>942.15</v>
      </c>
      <c r="H194" s="50" t="s">
        <v>285</v>
      </c>
      <c r="I194" s="39" t="s">
        <v>59</v>
      </c>
      <c r="J194" s="39">
        <v>957.17906389999996</v>
      </c>
      <c r="K194" s="39"/>
      <c r="L194" s="299"/>
      <c r="M194" s="300"/>
      <c r="N194" s="301"/>
      <c r="O194" s="301"/>
      <c r="P194" s="301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s="218" customFormat="1" x14ac:dyDescent="0.25">
      <c r="A195" s="312">
        <f t="shared" si="15"/>
        <v>193</v>
      </c>
      <c r="B195" s="309"/>
      <c r="C195" s="53" t="str">
        <f t="shared" si="16"/>
        <v>6UMELORA</v>
      </c>
      <c r="D195" s="53"/>
      <c r="E195" s="54">
        <f>+'CALCULO TARIFAS CC '!$S$45</f>
        <v>0.98429977792344414</v>
      </c>
      <c r="F195" s="55">
        <f t="shared" si="11"/>
        <v>212.38130000000001</v>
      </c>
      <c r="G195" s="56">
        <f t="shared" si="12"/>
        <v>209.05</v>
      </c>
      <c r="H195" s="50" t="s">
        <v>285</v>
      </c>
      <c r="I195" s="39" t="s">
        <v>60</v>
      </c>
      <c r="J195" s="39">
        <v>212.38131960000001</v>
      </c>
      <c r="K195" s="39"/>
      <c r="L195" s="299"/>
      <c r="M195" s="300"/>
      <c r="N195" s="301"/>
      <c r="O195" s="301"/>
      <c r="P195" s="301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s="218" customFormat="1" x14ac:dyDescent="0.25">
      <c r="A196" s="312">
        <f t="shared" si="15"/>
        <v>194</v>
      </c>
      <c r="B196" s="309"/>
      <c r="C196" s="53" t="str">
        <f t="shared" si="16"/>
        <v>6UMELOSC</v>
      </c>
      <c r="D196" s="53"/>
      <c r="E196" s="54">
        <f>+'CALCULO TARIFAS CC '!$S$45</f>
        <v>0.98429977792344414</v>
      </c>
      <c r="F196" s="55">
        <f t="shared" si="11"/>
        <v>360.98050000000001</v>
      </c>
      <c r="G196" s="56">
        <f t="shared" si="12"/>
        <v>355.31</v>
      </c>
      <c r="H196" s="50" t="s">
        <v>285</v>
      </c>
      <c r="I196" s="39" t="s">
        <v>61</v>
      </c>
      <c r="J196" s="39">
        <v>360.98047839999998</v>
      </c>
      <c r="K196" s="39"/>
      <c r="L196" s="299"/>
      <c r="M196" s="300"/>
      <c r="N196" s="301"/>
      <c r="O196" s="301"/>
      <c r="P196" s="301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s="218" customFormat="1" x14ac:dyDescent="0.25">
      <c r="A197" s="312">
        <f t="shared" si="15"/>
        <v>195</v>
      </c>
      <c r="B197" s="309"/>
      <c r="C197" s="53" t="str">
        <f t="shared" si="16"/>
        <v>6UMETALPAN</v>
      </c>
      <c r="D197" s="53"/>
      <c r="E197" s="54">
        <f>+'CALCULO TARIFAS CC '!$S$45</f>
        <v>0.98429977792344414</v>
      </c>
      <c r="F197" s="55">
        <f t="shared" si="11"/>
        <v>43.448300000000003</v>
      </c>
      <c r="G197" s="56">
        <f t="shared" si="12"/>
        <v>42.77</v>
      </c>
      <c r="H197" s="50" t="s">
        <v>285</v>
      </c>
      <c r="I197" s="39" t="s">
        <v>703</v>
      </c>
      <c r="J197" s="39">
        <v>43.448275600000002</v>
      </c>
      <c r="K197" s="39"/>
      <c r="L197" s="299"/>
      <c r="M197" s="300"/>
      <c r="N197" s="301"/>
      <c r="O197" s="301"/>
      <c r="P197" s="301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s="218" customFormat="1" x14ac:dyDescent="0.25">
      <c r="A198" s="312">
        <f t="shared" si="15"/>
        <v>196</v>
      </c>
      <c r="B198" s="309"/>
      <c r="C198" s="53" t="str">
        <f t="shared" si="16"/>
        <v>6GMINERAPMA</v>
      </c>
      <c r="D198" s="53"/>
      <c r="E198" s="54">
        <f>+'CALCULO TARIFAS CC '!$S$45</f>
        <v>0.98429977792344414</v>
      </c>
      <c r="F198" s="55">
        <f t="shared" si="11"/>
        <v>7665.6655000000001</v>
      </c>
      <c r="G198" s="56">
        <f t="shared" si="12"/>
        <v>7545.31</v>
      </c>
      <c r="H198" s="50" t="s">
        <v>285</v>
      </c>
      <c r="I198" s="39" t="s">
        <v>35</v>
      </c>
      <c r="J198" s="39">
        <v>7665.6655300000002</v>
      </c>
      <c r="K198" s="39"/>
      <c r="L198" s="299"/>
      <c r="M198" s="300"/>
      <c r="N198" s="301"/>
      <c r="O198" s="301"/>
      <c r="P198" s="301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s="218" customFormat="1" x14ac:dyDescent="0.25">
      <c r="A199" s="312">
        <f t="shared" si="15"/>
        <v>197</v>
      </c>
      <c r="B199" s="309"/>
      <c r="C199" s="53" t="str">
        <f t="shared" si="16"/>
        <v>6UMIRAMAR</v>
      </c>
      <c r="D199" s="53"/>
      <c r="E199" s="54">
        <f>+'CALCULO TARIFAS CC '!$S$45</f>
        <v>0.98429977792344414</v>
      </c>
      <c r="F199" s="55">
        <f t="shared" si="11"/>
        <v>379.57170000000002</v>
      </c>
      <c r="G199" s="56">
        <f t="shared" si="12"/>
        <v>373.61</v>
      </c>
      <c r="H199" s="50" t="s">
        <v>285</v>
      </c>
      <c r="I199" s="39" t="s">
        <v>515</v>
      </c>
      <c r="J199" s="39">
        <v>379.57165429999998</v>
      </c>
      <c r="K199" s="39"/>
      <c r="L199" s="299"/>
      <c r="M199" s="300"/>
      <c r="N199" s="301"/>
      <c r="O199" s="301"/>
      <c r="P199" s="301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s="218" customFormat="1" x14ac:dyDescent="0.25">
      <c r="A200" s="312">
        <f t="shared" si="15"/>
        <v>198</v>
      </c>
      <c r="B200" s="309"/>
      <c r="C200" s="53" t="str">
        <f t="shared" si="16"/>
        <v>6UMNTOC17</v>
      </c>
      <c r="D200" s="53"/>
      <c r="E200" s="54">
        <f>+'CALCULO TARIFAS CC '!$S$45</f>
        <v>0.98429977792344414</v>
      </c>
      <c r="F200" s="55">
        <f t="shared" si="11"/>
        <v>119.6865</v>
      </c>
      <c r="G200" s="56">
        <f t="shared" si="12"/>
        <v>117.81</v>
      </c>
      <c r="H200" s="50" t="s">
        <v>285</v>
      </c>
      <c r="I200" s="39" t="s">
        <v>704</v>
      </c>
      <c r="J200" s="39">
        <v>119.6865425</v>
      </c>
      <c r="K200" s="39"/>
      <c r="L200" s="299"/>
      <c r="M200" s="300"/>
      <c r="N200" s="301"/>
      <c r="O200" s="301"/>
      <c r="P200" s="301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s="218" customFormat="1" x14ac:dyDescent="0.25">
      <c r="A201" s="312">
        <f t="shared" si="15"/>
        <v>199</v>
      </c>
      <c r="B201" s="309"/>
      <c r="C201" s="53" t="str">
        <f t="shared" si="16"/>
        <v>6UMOLPASA</v>
      </c>
      <c r="D201" s="53"/>
      <c r="E201" s="54">
        <f>+'CALCULO TARIFAS CC '!$S$45</f>
        <v>0.98429977792344414</v>
      </c>
      <c r="F201" s="55">
        <f t="shared" si="11"/>
        <v>182.08609999999999</v>
      </c>
      <c r="G201" s="56">
        <f t="shared" si="12"/>
        <v>179.23</v>
      </c>
      <c r="H201" s="50" t="s">
        <v>285</v>
      </c>
      <c r="I201" s="39" t="s">
        <v>599</v>
      </c>
      <c r="J201" s="39">
        <v>182.086127</v>
      </c>
      <c r="K201" s="39"/>
      <c r="L201" s="299"/>
      <c r="M201" s="300"/>
      <c r="N201" s="301"/>
      <c r="O201" s="301"/>
      <c r="P201" s="301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s="218" customFormat="1" x14ac:dyDescent="0.25">
      <c r="A202" s="312">
        <f t="shared" si="15"/>
        <v>200</v>
      </c>
      <c r="B202" s="309"/>
      <c r="C202" s="53" t="str">
        <f t="shared" si="16"/>
        <v>6UMPFRIGO57</v>
      </c>
      <c r="D202" s="53"/>
      <c r="E202" s="54">
        <f>+'CALCULO TARIFAS CC '!$S$45</f>
        <v>0.98429977792344414</v>
      </c>
      <c r="F202" s="55">
        <f t="shared" si="11"/>
        <v>151.2611</v>
      </c>
      <c r="G202" s="56">
        <f t="shared" si="12"/>
        <v>148.88999999999999</v>
      </c>
      <c r="H202" s="50" t="s">
        <v>285</v>
      </c>
      <c r="I202" s="39" t="s">
        <v>668</v>
      </c>
      <c r="J202" s="39">
        <v>151.2610535</v>
      </c>
      <c r="K202" s="39"/>
      <c r="L202" s="299"/>
      <c r="M202" s="300"/>
      <c r="N202" s="301"/>
      <c r="O202" s="301"/>
      <c r="P202" s="301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s="218" customFormat="1" x14ac:dyDescent="0.25">
      <c r="A203" s="312">
        <f t="shared" si="15"/>
        <v>201</v>
      </c>
      <c r="B203" s="309"/>
      <c r="C203" s="53" t="str">
        <f t="shared" si="16"/>
        <v>6UMPLAZA</v>
      </c>
      <c r="D203" s="53"/>
      <c r="E203" s="54">
        <f>+'CALCULO TARIFAS CC '!$S$45</f>
        <v>0.98429977792344414</v>
      </c>
      <c r="F203" s="55">
        <f t="shared" si="11"/>
        <v>1059.6108999999999</v>
      </c>
      <c r="G203" s="56">
        <f t="shared" si="12"/>
        <v>1042.97</v>
      </c>
      <c r="H203" s="50" t="s">
        <v>285</v>
      </c>
      <c r="I203" s="39" t="s">
        <v>669</v>
      </c>
      <c r="J203" s="39">
        <v>1059.6108592</v>
      </c>
      <c r="K203" s="39"/>
      <c r="L203" s="299"/>
      <c r="M203" s="300"/>
      <c r="N203" s="301"/>
      <c r="O203" s="301"/>
      <c r="P203" s="301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s="218" customFormat="1" x14ac:dyDescent="0.25">
      <c r="A204" s="312">
        <f t="shared" si="15"/>
        <v>202</v>
      </c>
      <c r="B204" s="309"/>
      <c r="C204" s="53" t="str">
        <f t="shared" si="16"/>
        <v>6UMPME83</v>
      </c>
      <c r="D204" s="53"/>
      <c r="E204" s="54">
        <f>+'CALCULO TARIFAS CC '!$S$45</f>
        <v>0.98429977792344414</v>
      </c>
      <c r="F204" s="55">
        <f t="shared" si="11"/>
        <v>211.57919999999999</v>
      </c>
      <c r="G204" s="56">
        <f t="shared" si="12"/>
        <v>208.26</v>
      </c>
      <c r="H204" s="50" t="s">
        <v>285</v>
      </c>
      <c r="I204" s="39" t="s">
        <v>670</v>
      </c>
      <c r="J204" s="39">
        <v>211.57924460000001</v>
      </c>
      <c r="K204" s="39"/>
      <c r="L204" s="299"/>
      <c r="M204" s="300"/>
      <c r="N204" s="301"/>
      <c r="O204" s="301"/>
      <c r="P204" s="301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s="218" customFormat="1" x14ac:dyDescent="0.25">
      <c r="A205" s="312">
        <f t="shared" si="15"/>
        <v>203</v>
      </c>
      <c r="B205" s="309"/>
      <c r="C205" s="53" t="str">
        <f t="shared" si="16"/>
        <v>6UMPOLIS</v>
      </c>
      <c r="D205" s="53"/>
      <c r="E205" s="54">
        <f>+'CALCULO TARIFAS CC '!$S$45</f>
        <v>0.98429977792344414</v>
      </c>
      <c r="F205" s="55">
        <f t="shared" si="11"/>
        <v>1371.2127</v>
      </c>
      <c r="G205" s="56">
        <f t="shared" si="12"/>
        <v>1349.68</v>
      </c>
      <c r="H205" s="50" t="s">
        <v>285</v>
      </c>
      <c r="I205" s="39" t="s">
        <v>671</v>
      </c>
      <c r="J205" s="39">
        <v>1371.2126823999999</v>
      </c>
      <c r="K205" s="39"/>
      <c r="L205" s="299"/>
      <c r="M205" s="300"/>
      <c r="N205" s="301"/>
      <c r="O205" s="301"/>
      <c r="P205" s="301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s="218" customFormat="1" x14ac:dyDescent="0.25">
      <c r="A206" s="312">
        <f t="shared" si="15"/>
        <v>204</v>
      </c>
      <c r="B206" s="309"/>
      <c r="C206" s="53" t="str">
        <f t="shared" si="16"/>
        <v>6UMSGO26</v>
      </c>
      <c r="D206" s="53"/>
      <c r="E206" s="54">
        <f>+'CALCULO TARIFAS CC '!$S$45</f>
        <v>0.98429977792344414</v>
      </c>
      <c r="F206" s="55">
        <f t="shared" si="11"/>
        <v>131.1198</v>
      </c>
      <c r="G206" s="56">
        <f t="shared" si="12"/>
        <v>129.06</v>
      </c>
      <c r="H206" s="50" t="s">
        <v>285</v>
      </c>
      <c r="I206" s="39" t="s">
        <v>705</v>
      </c>
      <c r="J206" s="39">
        <v>131.11983939999999</v>
      </c>
      <c r="K206" s="39"/>
      <c r="L206" s="299"/>
      <c r="M206" s="300"/>
      <c r="N206" s="301"/>
      <c r="O206" s="301"/>
      <c r="P206" s="301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s="210" customFormat="1" x14ac:dyDescent="0.25">
      <c r="A207" s="312">
        <f t="shared" si="15"/>
        <v>205</v>
      </c>
      <c r="B207" s="309"/>
      <c r="C207" s="53" t="str">
        <f t="shared" si="16"/>
        <v>6UNESPSUR</v>
      </c>
      <c r="D207" s="53"/>
      <c r="E207" s="54">
        <f>+'CALCULO TARIFAS CC '!$S$45</f>
        <v>0.98429977792344414</v>
      </c>
      <c r="F207" s="55">
        <f t="shared" si="5"/>
        <v>85.918800000000005</v>
      </c>
      <c r="G207" s="56">
        <f t="shared" si="1"/>
        <v>84.57</v>
      </c>
      <c r="H207" s="50" t="s">
        <v>285</v>
      </c>
      <c r="I207" s="39" t="s">
        <v>471</v>
      </c>
      <c r="J207" s="39">
        <v>85.918764999999993</v>
      </c>
      <c r="K207" s="39"/>
      <c r="L207" s="299"/>
      <c r="M207" s="300"/>
      <c r="N207" s="301"/>
      <c r="O207" s="301"/>
      <c r="P207" s="301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s="276" customFormat="1" x14ac:dyDescent="0.25">
      <c r="A208" s="312">
        <f t="shared" si="15"/>
        <v>206</v>
      </c>
      <c r="B208" s="309"/>
      <c r="C208" s="53" t="str">
        <f t="shared" si="16"/>
        <v>6UNESTLELOMA</v>
      </c>
      <c r="D208" s="53"/>
      <c r="E208" s="54">
        <f>+'CALCULO TARIFAS CC '!$S$45</f>
        <v>0.98429977792344414</v>
      </c>
      <c r="F208" s="55">
        <f t="shared" ref="F208:F218" si="17">ROUND(J208,4)</f>
        <v>78.938100000000006</v>
      </c>
      <c r="G208" s="56">
        <f t="shared" ref="G208:G218" si="18">+ROUND(F208*E208,2)</f>
        <v>77.7</v>
      </c>
      <c r="H208" s="50" t="s">
        <v>285</v>
      </c>
      <c r="I208" s="39" t="s">
        <v>373</v>
      </c>
      <c r="J208" s="39">
        <v>78.938143600000004</v>
      </c>
      <c r="K208" s="39"/>
      <c r="L208" s="299"/>
      <c r="M208" s="300"/>
      <c r="N208" s="301"/>
      <c r="O208" s="301"/>
      <c r="P208" s="301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s="276" customFormat="1" x14ac:dyDescent="0.25">
      <c r="A209" s="312">
        <f t="shared" si="15"/>
        <v>207</v>
      </c>
      <c r="B209" s="309"/>
      <c r="C209" s="53" t="str">
        <f t="shared" si="16"/>
        <v>6UNESTLENATA</v>
      </c>
      <c r="D209" s="53"/>
      <c r="E209" s="54">
        <f>+'CALCULO TARIFAS CC '!$S$45</f>
        <v>0.98429977792344414</v>
      </c>
      <c r="F209" s="55">
        <f t="shared" si="17"/>
        <v>597.77980000000002</v>
      </c>
      <c r="G209" s="56">
        <f t="shared" si="18"/>
        <v>588.39</v>
      </c>
      <c r="H209" s="50" t="s">
        <v>285</v>
      </c>
      <c r="I209" s="39" t="s">
        <v>63</v>
      </c>
      <c r="J209" s="39">
        <v>597.77978110000004</v>
      </c>
      <c r="K209" s="39"/>
      <c r="L209" s="299"/>
      <c r="M209" s="300"/>
      <c r="N209" s="301"/>
      <c r="O209" s="301"/>
      <c r="P209" s="301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s="276" customFormat="1" x14ac:dyDescent="0.25">
      <c r="A210" s="312">
        <f t="shared" si="15"/>
        <v>208</v>
      </c>
      <c r="B210" s="309"/>
      <c r="C210" s="53" t="str">
        <f t="shared" si="16"/>
        <v>6UNESTLEVILA</v>
      </c>
      <c r="D210" s="53"/>
      <c r="E210" s="54">
        <f>+'CALCULO TARIFAS CC '!$S$45</f>
        <v>0.98429977792344414</v>
      </c>
      <c r="F210" s="55">
        <f t="shared" si="17"/>
        <v>203.33090000000001</v>
      </c>
      <c r="G210" s="56">
        <f t="shared" si="18"/>
        <v>200.14</v>
      </c>
      <c r="H210" s="50" t="s">
        <v>285</v>
      </c>
      <c r="I210" s="39" t="s">
        <v>64</v>
      </c>
      <c r="J210" s="39">
        <v>203.33090369999999</v>
      </c>
      <c r="K210" s="39"/>
      <c r="L210" s="299"/>
      <c r="M210" s="300"/>
      <c r="N210" s="301"/>
      <c r="O210" s="301"/>
      <c r="P210" s="301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s="276" customFormat="1" x14ac:dyDescent="0.25">
      <c r="A211" s="312">
        <f t="shared" si="15"/>
        <v>209</v>
      </c>
      <c r="B211" s="309"/>
      <c r="C211" s="53" t="str">
        <f t="shared" si="16"/>
        <v>6UOCEANIA</v>
      </c>
      <c r="D211" s="53"/>
      <c r="E211" s="54">
        <f>+'CALCULO TARIFAS CC '!$S$45</f>
        <v>0.98429977792344414</v>
      </c>
      <c r="F211" s="55">
        <f t="shared" si="17"/>
        <v>412.77519999999998</v>
      </c>
      <c r="G211" s="56">
        <f t="shared" si="18"/>
        <v>406.29</v>
      </c>
      <c r="H211" s="50" t="s">
        <v>285</v>
      </c>
      <c r="I211" s="39" t="s">
        <v>672</v>
      </c>
      <c r="J211" s="39">
        <v>412.77519280000001</v>
      </c>
      <c r="K211" s="39"/>
      <c r="L211" s="299"/>
      <c r="M211" s="300"/>
      <c r="N211" s="301"/>
      <c r="O211" s="301"/>
      <c r="P211" s="301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s="276" customFormat="1" x14ac:dyDescent="0.25">
      <c r="A212" s="312">
        <f t="shared" si="15"/>
        <v>210</v>
      </c>
      <c r="B212" s="309"/>
      <c r="C212" s="53" t="str">
        <f t="shared" si="16"/>
        <v>6UOCEANTWO</v>
      </c>
      <c r="D212" s="53"/>
      <c r="E212" s="54">
        <f>+'CALCULO TARIFAS CC '!$S$45</f>
        <v>0.98429977792344414</v>
      </c>
      <c r="F212" s="55">
        <f t="shared" si="17"/>
        <v>39.403199999999998</v>
      </c>
      <c r="G212" s="56">
        <f t="shared" si="18"/>
        <v>38.78</v>
      </c>
      <c r="H212" s="50" t="s">
        <v>285</v>
      </c>
      <c r="I212" s="39" t="s">
        <v>706</v>
      </c>
      <c r="J212" s="39">
        <v>39.4032178</v>
      </c>
      <c r="K212" s="39"/>
      <c r="L212" s="299"/>
      <c r="M212" s="300"/>
      <c r="N212" s="301"/>
      <c r="O212" s="301"/>
      <c r="P212" s="301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s="276" customFormat="1" x14ac:dyDescent="0.25">
      <c r="A213" s="312">
        <f t="shared" si="15"/>
        <v>211</v>
      </c>
      <c r="B213" s="309"/>
      <c r="C213" s="53" t="str">
        <f t="shared" si="16"/>
        <v>6UORONORTE</v>
      </c>
      <c r="D213" s="53"/>
      <c r="E213" s="54">
        <f>+'CALCULO TARIFAS CC '!$S$45</f>
        <v>0.98429977792344414</v>
      </c>
      <c r="F213" s="55">
        <f t="shared" si="17"/>
        <v>261.69170000000003</v>
      </c>
      <c r="G213" s="56">
        <f t="shared" si="18"/>
        <v>257.58</v>
      </c>
      <c r="H213" s="50" t="s">
        <v>285</v>
      </c>
      <c r="I213" s="39" t="s">
        <v>492</v>
      </c>
      <c r="J213" s="39">
        <v>261.69169419999997</v>
      </c>
      <c r="K213" s="39"/>
      <c r="L213" s="299"/>
      <c r="M213" s="300"/>
      <c r="N213" s="301"/>
      <c r="O213" s="301"/>
      <c r="P213" s="301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s="276" customFormat="1" x14ac:dyDescent="0.25">
      <c r="A214" s="312">
        <f t="shared" si="15"/>
        <v>212</v>
      </c>
      <c r="B214" s="309"/>
      <c r="C214" s="53" t="str">
        <f t="shared" si="16"/>
        <v>6GPANAM</v>
      </c>
      <c r="D214" s="53"/>
      <c r="E214" s="54">
        <f>+'CALCULO TARIFAS CC '!$S$45</f>
        <v>0.98429977792344414</v>
      </c>
      <c r="F214" s="55">
        <f t="shared" si="17"/>
        <v>203.80959999999999</v>
      </c>
      <c r="G214" s="56">
        <f t="shared" si="18"/>
        <v>200.61</v>
      </c>
      <c r="H214" s="50" t="s">
        <v>285</v>
      </c>
      <c r="I214" s="39" t="s">
        <v>36</v>
      </c>
      <c r="J214" s="39">
        <v>203.80962400000001</v>
      </c>
      <c r="K214" s="39"/>
      <c r="L214" s="299"/>
      <c r="M214" s="300"/>
      <c r="N214" s="301"/>
      <c r="O214" s="301"/>
      <c r="P214" s="301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s="276" customFormat="1" x14ac:dyDescent="0.25">
      <c r="A215" s="312">
        <f t="shared" si="15"/>
        <v>213</v>
      </c>
      <c r="B215" s="309"/>
      <c r="C215" s="53" t="str">
        <f t="shared" si="16"/>
        <v>6GPANASOLAR</v>
      </c>
      <c r="D215" s="53"/>
      <c r="E215" s="54">
        <f>+'CALCULO TARIFAS CC '!$S$45</f>
        <v>0.98429977792344414</v>
      </c>
      <c r="F215" s="55">
        <f t="shared" si="17"/>
        <v>6.5945</v>
      </c>
      <c r="G215" s="56">
        <f t="shared" si="18"/>
        <v>6.49</v>
      </c>
      <c r="H215" s="50" t="s">
        <v>285</v>
      </c>
      <c r="I215" s="39" t="s">
        <v>673</v>
      </c>
      <c r="J215" s="39">
        <v>6.5945470000000004</v>
      </c>
      <c r="K215" s="39"/>
      <c r="L215" s="299"/>
      <c r="M215" s="300"/>
      <c r="N215" s="301"/>
      <c r="O215" s="301"/>
      <c r="P215" s="301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s="276" customFormat="1" x14ac:dyDescent="0.25">
      <c r="A216" s="312">
        <f t="shared" si="15"/>
        <v>214</v>
      </c>
      <c r="B216" s="309"/>
      <c r="C216" s="53" t="str">
        <f t="shared" si="16"/>
        <v>6UPASCUAL</v>
      </c>
      <c r="D216" s="53"/>
      <c r="E216" s="54">
        <f>+'CALCULO TARIFAS CC '!$S$45</f>
        <v>0.98429977792344414</v>
      </c>
      <c r="F216" s="55">
        <f t="shared" si="17"/>
        <v>416.29829999999998</v>
      </c>
      <c r="G216" s="56">
        <f t="shared" si="18"/>
        <v>409.76</v>
      </c>
      <c r="H216" s="50" t="s">
        <v>285</v>
      </c>
      <c r="I216" s="39" t="s">
        <v>449</v>
      </c>
      <c r="J216" s="39">
        <v>416.29829790000002</v>
      </c>
      <c r="K216" s="39"/>
      <c r="L216" s="299"/>
      <c r="M216" s="300"/>
      <c r="N216" s="301"/>
      <c r="O216" s="301"/>
      <c r="P216" s="301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s="276" customFormat="1" x14ac:dyDescent="0.25">
      <c r="A217" s="312">
        <f t="shared" si="15"/>
        <v>215</v>
      </c>
      <c r="B217" s="309"/>
      <c r="C217" s="53" t="str">
        <f t="shared" si="16"/>
        <v>6UPECCOLA06</v>
      </c>
      <c r="D217" s="53"/>
      <c r="E217" s="54">
        <f>+'CALCULO TARIFAS CC '!$S$45</f>
        <v>0.98429977792344414</v>
      </c>
      <c r="F217" s="55">
        <f t="shared" si="17"/>
        <v>372.02640000000002</v>
      </c>
      <c r="G217" s="56">
        <f t="shared" si="18"/>
        <v>366.19</v>
      </c>
      <c r="H217" s="50" t="s">
        <v>285</v>
      </c>
      <c r="I217" s="39" t="s">
        <v>362</v>
      </c>
      <c r="J217" s="39">
        <v>372.02637850000002</v>
      </c>
      <c r="K217" s="39"/>
      <c r="L217" s="299"/>
      <c r="M217" s="300"/>
      <c r="N217" s="301"/>
      <c r="O217" s="301"/>
      <c r="P217" s="301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s="276" customFormat="1" x14ac:dyDescent="0.25">
      <c r="A218" s="312">
        <f t="shared" si="15"/>
        <v>216</v>
      </c>
      <c r="B218" s="309"/>
      <c r="C218" s="53" t="str">
        <f t="shared" si="16"/>
        <v>6UPECCOLA51</v>
      </c>
      <c r="D218" s="53"/>
      <c r="E218" s="54">
        <f>+'CALCULO TARIFAS CC '!$S$45</f>
        <v>0.98429977792344414</v>
      </c>
      <c r="F218" s="55">
        <f t="shared" si="17"/>
        <v>533.25720000000001</v>
      </c>
      <c r="G218" s="56">
        <f t="shared" si="18"/>
        <v>524.88</v>
      </c>
      <c r="H218" s="50" t="s">
        <v>285</v>
      </c>
      <c r="I218" s="39" t="s">
        <v>363</v>
      </c>
      <c r="J218" s="39">
        <v>533.25716569999997</v>
      </c>
      <c r="K218" s="39"/>
      <c r="L218" s="299"/>
      <c r="M218" s="300"/>
      <c r="N218" s="301"/>
      <c r="O218" s="301"/>
      <c r="P218" s="301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12">
        <f t="shared" si="15"/>
        <v>217</v>
      </c>
      <c r="B219" s="309"/>
      <c r="C219" s="53" t="str">
        <f t="shared" si="16"/>
        <v>6UPECCOLA63</v>
      </c>
      <c r="D219" s="53"/>
      <c r="E219" s="54">
        <f>+'CALCULO TARIFAS CC '!$S$45</f>
        <v>0.98429977792344414</v>
      </c>
      <c r="F219" s="55">
        <f t="shared" si="5"/>
        <v>113.80970000000001</v>
      </c>
      <c r="G219" s="56">
        <f t="shared" si="1"/>
        <v>112.02</v>
      </c>
      <c r="H219" s="50" t="s">
        <v>285</v>
      </c>
      <c r="I219" s="39" t="s">
        <v>568</v>
      </c>
      <c r="J219" s="39">
        <v>113.8097264</v>
      </c>
      <c r="K219" s="39"/>
      <c r="L219" s="299"/>
      <c r="M219" s="300"/>
      <c r="N219" s="301"/>
      <c r="O219" s="301"/>
      <c r="P219" s="301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12">
        <f t="shared" si="15"/>
        <v>218</v>
      </c>
      <c r="B220" s="309"/>
      <c r="C220" s="53" t="str">
        <f t="shared" si="16"/>
        <v>6GPEDREGAL</v>
      </c>
      <c r="D220" s="53"/>
      <c r="E220" s="54">
        <f>+'CALCULO TARIFAS CC '!$S$45</f>
        <v>0.98429977792344414</v>
      </c>
      <c r="F220" s="55">
        <f t="shared" si="5"/>
        <v>119.7353</v>
      </c>
      <c r="G220" s="56">
        <f t="shared" si="1"/>
        <v>117.86</v>
      </c>
      <c r="H220" s="50" t="s">
        <v>285</v>
      </c>
      <c r="I220" s="39" t="s">
        <v>37</v>
      </c>
      <c r="J220" s="39">
        <v>119.735259</v>
      </c>
      <c r="K220" s="39"/>
      <c r="L220" s="299"/>
      <c r="M220" s="300"/>
      <c r="N220" s="301"/>
      <c r="O220" s="301"/>
      <c r="P220" s="301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12">
        <f t="shared" si="15"/>
        <v>219</v>
      </c>
      <c r="B221" s="309"/>
      <c r="C221" s="53" t="str">
        <f t="shared" si="16"/>
        <v>6GPERLANORT</v>
      </c>
      <c r="D221" s="53"/>
      <c r="E221" s="54">
        <f>+'CALCULO TARIFAS CC '!$S$45</f>
        <v>0.98429977792344414</v>
      </c>
      <c r="F221" s="55">
        <f t="shared" si="5"/>
        <v>7.22E-2</v>
      </c>
      <c r="G221" s="56">
        <f t="shared" si="1"/>
        <v>7.0000000000000007E-2</v>
      </c>
      <c r="H221" s="50" t="s">
        <v>285</v>
      </c>
      <c r="I221" s="39" t="s">
        <v>38</v>
      </c>
      <c r="J221" s="39">
        <v>7.2230199999999994E-2</v>
      </c>
      <c r="K221" s="39"/>
      <c r="L221" s="299"/>
      <c r="M221" s="300"/>
      <c r="N221" s="301"/>
      <c r="O221" s="301"/>
      <c r="P221" s="301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12">
        <f t="shared" si="15"/>
        <v>220</v>
      </c>
      <c r="B222" s="309"/>
      <c r="C222" s="53" t="str">
        <f t="shared" si="16"/>
        <v>6GPERLASUR</v>
      </c>
      <c r="D222" s="53"/>
      <c r="E222" s="54">
        <f>+'CALCULO TARIFAS CC '!$S$45</f>
        <v>0.98429977792344414</v>
      </c>
      <c r="F222" s="55">
        <f t="shared" si="5"/>
        <v>6.88E-2</v>
      </c>
      <c r="G222" s="56">
        <f t="shared" si="1"/>
        <v>7.0000000000000007E-2</v>
      </c>
      <c r="H222" s="50" t="s">
        <v>285</v>
      </c>
      <c r="I222" s="39" t="s">
        <v>39</v>
      </c>
      <c r="J222" s="39">
        <v>6.8818799999999999E-2</v>
      </c>
      <c r="K222" s="39"/>
      <c r="L222" s="299"/>
      <c r="M222" s="300"/>
      <c r="N222" s="301"/>
      <c r="O222" s="301"/>
      <c r="P222" s="301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12">
        <f t="shared" si="15"/>
        <v>221</v>
      </c>
      <c r="B223" s="309"/>
      <c r="C223" s="53" t="str">
        <f t="shared" si="16"/>
        <v>6UPETITEPMA</v>
      </c>
      <c r="D223" s="53"/>
      <c r="E223" s="54">
        <f>+'CALCULO TARIFAS CC '!$S$45</f>
        <v>0.98429977792344414</v>
      </c>
      <c r="F223" s="55">
        <f t="shared" si="5"/>
        <v>181.10069999999999</v>
      </c>
      <c r="G223" s="56">
        <f t="shared" si="1"/>
        <v>178.26</v>
      </c>
      <c r="H223" s="50" t="s">
        <v>285</v>
      </c>
      <c r="I223" s="39" t="s">
        <v>602</v>
      </c>
      <c r="J223" s="39">
        <v>181.10067810000001</v>
      </c>
      <c r="K223" s="39"/>
      <c r="L223" s="299"/>
      <c r="M223" s="300"/>
      <c r="N223" s="301"/>
      <c r="O223" s="301"/>
      <c r="P223" s="301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12">
        <f t="shared" si="15"/>
        <v>222</v>
      </c>
      <c r="B224" s="309"/>
      <c r="C224" s="53" t="str">
        <f t="shared" si="16"/>
        <v>6UPETPMA</v>
      </c>
      <c r="D224" s="53"/>
      <c r="E224" s="54">
        <f>+'CALCULO TARIFAS CC '!$S$45</f>
        <v>0.98429977792344414</v>
      </c>
      <c r="F224" s="55">
        <f t="shared" si="5"/>
        <v>76.749700000000004</v>
      </c>
      <c r="G224" s="56">
        <f t="shared" si="1"/>
        <v>75.540000000000006</v>
      </c>
      <c r="H224" s="50" t="s">
        <v>285</v>
      </c>
      <c r="I224" s="39" t="s">
        <v>470</v>
      </c>
      <c r="J224" s="39">
        <v>76.749726199999998</v>
      </c>
      <c r="K224" s="39"/>
      <c r="L224" s="299"/>
      <c r="M224" s="300"/>
      <c r="N224" s="301"/>
      <c r="O224" s="301"/>
      <c r="P224" s="301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12">
        <f t="shared" si="15"/>
        <v>223</v>
      </c>
      <c r="B225" s="309"/>
      <c r="C225" s="53" t="str">
        <f t="shared" si="16"/>
        <v>6UPHACQUA1</v>
      </c>
      <c r="D225" s="53"/>
      <c r="E225" s="54">
        <f>+'CALCULO TARIFAS CC '!$S$45</f>
        <v>0.98429977792344414</v>
      </c>
      <c r="F225" s="55">
        <f t="shared" si="5"/>
        <v>52.606999999999999</v>
      </c>
      <c r="G225" s="56">
        <f t="shared" si="1"/>
        <v>51.78</v>
      </c>
      <c r="H225" s="50" t="s">
        <v>285</v>
      </c>
      <c r="I225" s="39" t="s">
        <v>674</v>
      </c>
      <c r="J225" s="39">
        <v>52.607045100000001</v>
      </c>
      <c r="K225" s="39"/>
      <c r="L225" s="299"/>
      <c r="M225" s="300"/>
      <c r="N225" s="301"/>
      <c r="O225" s="301"/>
      <c r="P225" s="301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s="278" customFormat="1" x14ac:dyDescent="0.25">
      <c r="A226" s="312">
        <f t="shared" si="15"/>
        <v>224</v>
      </c>
      <c r="B226" s="309"/>
      <c r="C226" s="53" t="str">
        <f t="shared" si="16"/>
        <v>6UPHGLOB78</v>
      </c>
      <c r="D226" s="53"/>
      <c r="E226" s="54">
        <f>+'CALCULO TARIFAS CC '!$S$45</f>
        <v>0.98429977792344414</v>
      </c>
      <c r="F226" s="55">
        <f t="shared" ref="F226:F262" si="19">ROUND(J226,4)</f>
        <v>156.24080000000001</v>
      </c>
      <c r="G226" s="56">
        <f t="shared" ref="G226:G262" si="20">+ROUND(F226*E226,2)</f>
        <v>153.79</v>
      </c>
      <c r="H226" s="50" t="s">
        <v>285</v>
      </c>
      <c r="I226" s="39" t="s">
        <v>675</v>
      </c>
      <c r="J226" s="39">
        <v>156.2407643</v>
      </c>
      <c r="K226" s="39"/>
      <c r="L226" s="299"/>
      <c r="M226" s="300"/>
      <c r="N226" s="301"/>
      <c r="O226" s="301"/>
      <c r="P226" s="301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s="288" customFormat="1" x14ac:dyDescent="0.25">
      <c r="A227" s="312">
        <f t="shared" si="15"/>
        <v>225</v>
      </c>
      <c r="B227" s="309"/>
      <c r="C227" s="53" t="str">
        <f t="shared" si="16"/>
        <v>6UMETROMALL</v>
      </c>
      <c r="D227" s="53"/>
      <c r="E227" s="54">
        <f>+'CALCULO TARIFAS CC '!$S$45</f>
        <v>0.98429977792344414</v>
      </c>
      <c r="F227" s="55">
        <f t="shared" ref="F227:F239" si="21">ROUND(J227,4)</f>
        <v>318.83749999999998</v>
      </c>
      <c r="G227" s="56">
        <f t="shared" ref="G227:G239" si="22">+ROUND(F227*E227,2)</f>
        <v>313.83</v>
      </c>
      <c r="H227" s="50" t="s">
        <v>285</v>
      </c>
      <c r="I227" s="39" t="s">
        <v>707</v>
      </c>
      <c r="J227" s="39">
        <v>318.83747590000002</v>
      </c>
      <c r="K227" s="39"/>
      <c r="L227" s="299"/>
      <c r="M227" s="300"/>
      <c r="N227" s="301"/>
      <c r="O227" s="301"/>
      <c r="P227" s="301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s="288" customFormat="1" x14ac:dyDescent="0.25">
      <c r="A228" s="312">
        <f t="shared" si="15"/>
        <v>226</v>
      </c>
      <c r="B228" s="309"/>
      <c r="C228" s="53" t="str">
        <f t="shared" si="16"/>
        <v>6UPHTOC71</v>
      </c>
      <c r="D228" s="53"/>
      <c r="E228" s="54">
        <f>+'CALCULO TARIFAS CC '!$S$45</f>
        <v>0.98429977792344414</v>
      </c>
      <c r="F228" s="55">
        <f t="shared" si="21"/>
        <v>2232.1529999999998</v>
      </c>
      <c r="G228" s="56">
        <f t="shared" si="22"/>
        <v>2197.11</v>
      </c>
      <c r="H228" s="50" t="s">
        <v>285</v>
      </c>
      <c r="I228" s="39" t="s">
        <v>676</v>
      </c>
      <c r="J228" s="39">
        <v>2232.1529798000001</v>
      </c>
      <c r="K228" s="39"/>
      <c r="L228" s="299"/>
      <c r="M228" s="300"/>
      <c r="N228" s="301"/>
      <c r="O228" s="301"/>
      <c r="P228" s="301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s="288" customFormat="1" x14ac:dyDescent="0.25">
      <c r="A229" s="312">
        <f t="shared" si="15"/>
        <v>227</v>
      </c>
      <c r="B229" s="309"/>
      <c r="C229" s="53" t="str">
        <f t="shared" si="16"/>
        <v>6UPHVITRI85</v>
      </c>
      <c r="D229" s="53"/>
      <c r="E229" s="54">
        <f>+'CALCULO TARIFAS CC '!$S$45</f>
        <v>0.98429977792344414</v>
      </c>
      <c r="F229" s="55">
        <f t="shared" si="21"/>
        <v>67.683400000000006</v>
      </c>
      <c r="G229" s="56">
        <f t="shared" si="22"/>
        <v>66.62</v>
      </c>
      <c r="H229" s="50" t="s">
        <v>285</v>
      </c>
      <c r="I229" s="39" t="s">
        <v>677</v>
      </c>
      <c r="J229" s="39">
        <v>67.683412899999993</v>
      </c>
      <c r="K229" s="39"/>
      <c r="L229" s="299"/>
      <c r="M229" s="300"/>
      <c r="N229" s="301"/>
      <c r="O229" s="301"/>
      <c r="P229" s="301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s="288" customFormat="1" x14ac:dyDescent="0.25">
      <c r="A230" s="312">
        <f t="shared" si="15"/>
        <v>228</v>
      </c>
      <c r="B230" s="309"/>
      <c r="C230" s="53" t="str">
        <f t="shared" si="16"/>
        <v>6UPLASTIG25</v>
      </c>
      <c r="D230" s="53"/>
      <c r="E230" s="54">
        <f>+'CALCULO TARIFAS CC '!$S$45</f>
        <v>0.98429977792344414</v>
      </c>
      <c r="F230" s="55">
        <f t="shared" si="21"/>
        <v>442.94189999999998</v>
      </c>
      <c r="G230" s="56">
        <f t="shared" si="22"/>
        <v>435.99</v>
      </c>
      <c r="H230" s="50" t="s">
        <v>285</v>
      </c>
      <c r="I230" s="39" t="s">
        <v>678</v>
      </c>
      <c r="J230" s="39">
        <v>442.94187040000003</v>
      </c>
      <c r="K230" s="39"/>
      <c r="L230" s="299"/>
      <c r="M230" s="300"/>
      <c r="N230" s="301"/>
      <c r="O230" s="301"/>
      <c r="P230" s="301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s="288" customFormat="1" x14ac:dyDescent="0.25">
      <c r="A231" s="312">
        <f t="shared" si="15"/>
        <v>229</v>
      </c>
      <c r="B231" s="309"/>
      <c r="C231" s="53" t="str">
        <f t="shared" si="16"/>
        <v>6UPMAR1</v>
      </c>
      <c r="D231" s="53"/>
      <c r="E231" s="54">
        <f>+'CALCULO TARIFAS CC '!$S$45</f>
        <v>0.98429977792344414</v>
      </c>
      <c r="F231" s="55">
        <f t="shared" si="21"/>
        <v>47.528799999999997</v>
      </c>
      <c r="G231" s="56">
        <f t="shared" si="22"/>
        <v>46.78</v>
      </c>
      <c r="H231" s="50" t="s">
        <v>285</v>
      </c>
      <c r="I231" s="39" t="s">
        <v>601</v>
      </c>
      <c r="J231" s="39">
        <v>47.528791900000002</v>
      </c>
      <c r="K231" s="39"/>
      <c r="L231" s="299"/>
      <c r="M231" s="300"/>
      <c r="N231" s="301"/>
      <c r="O231" s="301"/>
      <c r="P231" s="301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s="288" customFormat="1" x14ac:dyDescent="0.25">
      <c r="A232" s="312">
        <f t="shared" si="15"/>
        <v>230</v>
      </c>
      <c r="B232" s="309"/>
      <c r="C232" s="53" t="str">
        <f t="shared" si="16"/>
        <v>6UPOTMEN</v>
      </c>
      <c r="D232" s="53"/>
      <c r="E232" s="54">
        <f>+'CALCULO TARIFAS CC '!$S$45</f>
        <v>0.98429977792344414</v>
      </c>
      <c r="F232" s="55">
        <f t="shared" si="21"/>
        <v>2430.2727</v>
      </c>
      <c r="G232" s="56">
        <f t="shared" si="22"/>
        <v>2392.12</v>
      </c>
      <c r="H232" s="50" t="s">
        <v>285</v>
      </c>
      <c r="I232" s="39" t="s">
        <v>505</v>
      </c>
      <c r="J232" s="39">
        <v>2430.2727438000002</v>
      </c>
      <c r="K232" s="39"/>
      <c r="L232" s="299"/>
      <c r="M232" s="300"/>
      <c r="N232" s="301"/>
      <c r="O232" s="301"/>
      <c r="P232" s="301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s="288" customFormat="1" x14ac:dyDescent="0.25">
      <c r="A233" s="312">
        <f t="shared" si="15"/>
        <v>231</v>
      </c>
      <c r="B233" s="309"/>
      <c r="C233" s="53" t="str">
        <f t="shared" si="16"/>
        <v>6UPROCARSA</v>
      </c>
      <c r="D233" s="53"/>
      <c r="E233" s="54">
        <f>+'CALCULO TARIFAS CC '!$S$45</f>
        <v>0.98429977792344414</v>
      </c>
      <c r="F233" s="55">
        <f t="shared" si="21"/>
        <v>374.57119999999998</v>
      </c>
      <c r="G233" s="56">
        <f t="shared" si="22"/>
        <v>368.69</v>
      </c>
      <c r="H233" s="50" t="s">
        <v>285</v>
      </c>
      <c r="I233" s="39" t="s">
        <v>65</v>
      </c>
      <c r="J233" s="39">
        <v>374.57124979999998</v>
      </c>
      <c r="K233" s="39"/>
      <c r="L233" s="299"/>
      <c r="M233" s="300"/>
      <c r="N233" s="301"/>
      <c r="O233" s="301"/>
      <c r="P233" s="301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s="288" customFormat="1" x14ac:dyDescent="0.25">
      <c r="A234" s="312">
        <f t="shared" si="15"/>
        <v>232</v>
      </c>
      <c r="B234" s="309"/>
      <c r="C234" s="53" t="str">
        <f t="shared" si="16"/>
        <v>6UPROLUX</v>
      </c>
      <c r="D234" s="53"/>
      <c r="E234" s="54">
        <f>+'CALCULO TARIFAS CC '!$S$45</f>
        <v>0.98429977792344414</v>
      </c>
      <c r="F234" s="55">
        <f t="shared" si="21"/>
        <v>97.316199999999995</v>
      </c>
      <c r="G234" s="56">
        <f t="shared" si="22"/>
        <v>95.79</v>
      </c>
      <c r="H234" s="50" t="s">
        <v>285</v>
      </c>
      <c r="I234" s="39" t="s">
        <v>519</v>
      </c>
      <c r="J234" s="39">
        <v>97.316172100000003</v>
      </c>
      <c r="K234" s="39"/>
      <c r="L234" s="299"/>
      <c r="M234" s="300"/>
      <c r="N234" s="301"/>
      <c r="O234" s="301"/>
      <c r="P234" s="301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s="288" customFormat="1" x14ac:dyDescent="0.25">
      <c r="A235" s="312">
        <f t="shared" si="15"/>
        <v>233</v>
      </c>
      <c r="B235" s="309"/>
      <c r="C235" s="53" t="str">
        <f t="shared" si="16"/>
        <v>6UPROMDORADO</v>
      </c>
      <c r="D235" s="53"/>
      <c r="E235" s="54">
        <f>+'CALCULO TARIFAS CC '!$S$45</f>
        <v>0.98429977792344414</v>
      </c>
      <c r="F235" s="55">
        <f t="shared" si="21"/>
        <v>168.21979999999999</v>
      </c>
      <c r="G235" s="56">
        <f t="shared" si="22"/>
        <v>165.58</v>
      </c>
      <c r="H235" s="50" t="s">
        <v>285</v>
      </c>
      <c r="I235" s="39" t="s">
        <v>679</v>
      </c>
      <c r="J235" s="39">
        <v>168.21977759999999</v>
      </c>
      <c r="K235" s="39"/>
      <c r="L235" s="299"/>
      <c r="M235" s="300"/>
      <c r="N235" s="301"/>
      <c r="O235" s="301"/>
      <c r="P235" s="301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s="288" customFormat="1" x14ac:dyDescent="0.25">
      <c r="A236" s="312">
        <f t="shared" si="15"/>
        <v>234</v>
      </c>
      <c r="B236" s="309"/>
      <c r="C236" s="53" t="str">
        <f t="shared" si="16"/>
        <v>6UPROMGTOWER</v>
      </c>
      <c r="D236" s="53"/>
      <c r="E236" s="54">
        <f>+'CALCULO TARIFAS CC '!$S$45</f>
        <v>0.98429977792344414</v>
      </c>
      <c r="F236" s="55">
        <f t="shared" si="21"/>
        <v>35.215200000000003</v>
      </c>
      <c r="G236" s="56">
        <f t="shared" si="22"/>
        <v>34.659999999999997</v>
      </c>
      <c r="H236" s="50" t="s">
        <v>285</v>
      </c>
      <c r="I236" s="39" t="s">
        <v>708</v>
      </c>
      <c r="J236" s="39">
        <v>35.215184399999998</v>
      </c>
      <c r="K236" s="39"/>
      <c r="L236" s="299"/>
      <c r="M236" s="300"/>
      <c r="N236" s="301"/>
      <c r="O236" s="301"/>
      <c r="P236" s="301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s="288" customFormat="1" x14ac:dyDescent="0.25">
      <c r="A237" s="312">
        <f t="shared" ref="A237:A300" si="23">A236+1</f>
        <v>235</v>
      </c>
      <c r="B237" s="309"/>
      <c r="C237" s="53" t="str">
        <f t="shared" si="16"/>
        <v>6UPROSERV97</v>
      </c>
      <c r="D237" s="53"/>
      <c r="E237" s="54">
        <f>+'CALCULO TARIFAS CC '!$S$45</f>
        <v>0.98429977792344414</v>
      </c>
      <c r="F237" s="55">
        <f t="shared" si="21"/>
        <v>85.248800000000003</v>
      </c>
      <c r="G237" s="56">
        <f t="shared" si="22"/>
        <v>83.91</v>
      </c>
      <c r="H237" s="50" t="s">
        <v>285</v>
      </c>
      <c r="I237" s="39" t="s">
        <v>680</v>
      </c>
      <c r="J237" s="39">
        <v>85.248777700000005</v>
      </c>
      <c r="K237" s="39"/>
      <c r="L237" s="299"/>
      <c r="M237" s="300"/>
      <c r="N237" s="301"/>
      <c r="O237" s="301"/>
      <c r="P237" s="301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s="288" customFormat="1" x14ac:dyDescent="0.25">
      <c r="A238" s="312">
        <f t="shared" si="23"/>
        <v>236</v>
      </c>
      <c r="B238" s="309"/>
      <c r="C238" s="53" t="str">
        <f t="shared" si="16"/>
        <v>6UPTPCGL</v>
      </c>
      <c r="D238" s="53"/>
      <c r="E238" s="54">
        <f>+'CALCULO TARIFAS CC '!$S$45</f>
        <v>0.98429977792344414</v>
      </c>
      <c r="F238" s="55">
        <f t="shared" si="21"/>
        <v>1181.6452999999999</v>
      </c>
      <c r="G238" s="56">
        <f t="shared" si="22"/>
        <v>1163.0899999999999</v>
      </c>
      <c r="H238" s="50" t="s">
        <v>285</v>
      </c>
      <c r="I238" s="39" t="s">
        <v>66</v>
      </c>
      <c r="J238" s="39">
        <v>1181.6453494</v>
      </c>
      <c r="K238" s="39"/>
      <c r="L238" s="299"/>
      <c r="M238" s="300"/>
      <c r="N238" s="301"/>
      <c r="O238" s="301"/>
      <c r="P238" s="301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s="288" customFormat="1" x14ac:dyDescent="0.25">
      <c r="A239" s="312">
        <f t="shared" si="23"/>
        <v>237</v>
      </c>
      <c r="B239" s="309"/>
      <c r="C239" s="53" t="str">
        <f t="shared" si="16"/>
        <v>6UPTPPSA</v>
      </c>
      <c r="D239" s="53"/>
      <c r="E239" s="54">
        <f>+'CALCULO TARIFAS CC '!$S$45</f>
        <v>0.98429977792344414</v>
      </c>
      <c r="F239" s="55">
        <f t="shared" si="21"/>
        <v>2369.9007999999999</v>
      </c>
      <c r="G239" s="56">
        <f t="shared" si="22"/>
        <v>2332.69</v>
      </c>
      <c r="H239" s="50" t="s">
        <v>285</v>
      </c>
      <c r="I239" s="39" t="s">
        <v>67</v>
      </c>
      <c r="J239" s="39">
        <v>2369.9007731000002</v>
      </c>
      <c r="K239" s="39"/>
      <c r="L239" s="299"/>
      <c r="M239" s="300"/>
      <c r="N239" s="301"/>
      <c r="O239" s="301"/>
      <c r="P239" s="301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s="278" customFormat="1" x14ac:dyDescent="0.25">
      <c r="A240" s="312">
        <f t="shared" si="23"/>
        <v>238</v>
      </c>
      <c r="B240" s="309"/>
      <c r="C240" s="53" t="str">
        <f t="shared" si="16"/>
        <v>6UPTPPSB</v>
      </c>
      <c r="D240" s="53"/>
      <c r="E240" s="54">
        <f>+'CALCULO TARIFAS CC '!$S$45</f>
        <v>0.98429977792344414</v>
      </c>
      <c r="F240" s="55">
        <f t="shared" si="19"/>
        <v>2079.4645</v>
      </c>
      <c r="G240" s="56">
        <f t="shared" si="20"/>
        <v>2046.82</v>
      </c>
      <c r="H240" s="50" t="s">
        <v>285</v>
      </c>
      <c r="I240" s="39" t="s">
        <v>68</v>
      </c>
      <c r="J240" s="39">
        <v>2079.4645303000002</v>
      </c>
      <c r="K240" s="39"/>
      <c r="L240" s="299"/>
      <c r="M240" s="300"/>
      <c r="N240" s="301"/>
      <c r="O240" s="301"/>
      <c r="P240" s="301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s="290" customFormat="1" x14ac:dyDescent="0.25">
      <c r="A241" s="312">
        <f t="shared" si="23"/>
        <v>239</v>
      </c>
      <c r="B241" s="309"/>
      <c r="C241" s="53" t="str">
        <f t="shared" si="16"/>
        <v>6URAMADA</v>
      </c>
      <c r="D241" s="53"/>
      <c r="E241" s="54">
        <f>+'CALCULO TARIFAS CC '!$S$45</f>
        <v>0.98429977792344414</v>
      </c>
      <c r="F241" s="55">
        <f t="shared" ref="F241:F257" si="24">ROUND(J241,4)</f>
        <v>141.58150000000001</v>
      </c>
      <c r="G241" s="56">
        <f t="shared" ref="G241:G257" si="25">+ROUND(F241*E241,2)</f>
        <v>139.36000000000001</v>
      </c>
      <c r="H241" s="50" t="s">
        <v>285</v>
      </c>
      <c r="I241" s="39" t="s">
        <v>574</v>
      </c>
      <c r="J241" s="39">
        <v>141.58153540000001</v>
      </c>
      <c r="K241" s="39"/>
      <c r="L241" s="299"/>
      <c r="M241" s="300"/>
      <c r="N241" s="301"/>
      <c r="O241" s="301"/>
      <c r="P241" s="301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s="290" customFormat="1" x14ac:dyDescent="0.25">
      <c r="A242" s="312">
        <f t="shared" si="23"/>
        <v>240</v>
      </c>
      <c r="B242" s="309"/>
      <c r="C242" s="53" t="str">
        <f t="shared" si="16"/>
        <v>6GRCHICO</v>
      </c>
      <c r="D242" s="53"/>
      <c r="E242" s="54">
        <f>+'CALCULO TARIFAS CC '!$S$45</f>
        <v>0.98429977792344414</v>
      </c>
      <c r="F242" s="55">
        <f t="shared" si="24"/>
        <v>4.4010999999999996</v>
      </c>
      <c r="G242" s="56">
        <f t="shared" si="25"/>
        <v>4.33</v>
      </c>
      <c r="H242" s="50" t="s">
        <v>285</v>
      </c>
      <c r="I242" s="39" t="s">
        <v>469</v>
      </c>
      <c r="J242" s="39">
        <v>4.4011250000000004</v>
      </c>
      <c r="K242" s="39"/>
      <c r="L242" s="299"/>
      <c r="M242" s="300"/>
      <c r="N242" s="301"/>
      <c r="O242" s="301"/>
      <c r="P242" s="301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s="290" customFormat="1" x14ac:dyDescent="0.25">
      <c r="A243" s="312">
        <f t="shared" si="23"/>
        <v>241</v>
      </c>
      <c r="B243" s="309"/>
      <c r="C243" s="53" t="str">
        <f t="shared" si="16"/>
        <v>6URETCEN</v>
      </c>
      <c r="D243" s="53"/>
      <c r="E243" s="54">
        <f>+'CALCULO TARIFAS CC '!$S$45</f>
        <v>0.98429977792344414</v>
      </c>
      <c r="F243" s="55">
        <f t="shared" si="24"/>
        <v>1573.7672</v>
      </c>
      <c r="G243" s="56">
        <f t="shared" si="25"/>
        <v>1549.06</v>
      </c>
      <c r="H243" s="50" t="s">
        <v>285</v>
      </c>
      <c r="I243" s="39" t="s">
        <v>681</v>
      </c>
      <c r="J243" s="39">
        <v>1573.7672273999999</v>
      </c>
      <c r="K243" s="39"/>
      <c r="L243" s="299"/>
      <c r="M243" s="300"/>
      <c r="N243" s="301"/>
      <c r="O243" s="301"/>
      <c r="P243" s="301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s="290" customFormat="1" x14ac:dyDescent="0.25">
      <c r="A244" s="312">
        <f t="shared" si="23"/>
        <v>242</v>
      </c>
      <c r="B244" s="309"/>
      <c r="C244" s="53" t="str">
        <f t="shared" si="16"/>
        <v>6URSAPLAZA</v>
      </c>
      <c r="D244" s="53"/>
      <c r="E244" s="54">
        <f>+'CALCULO TARIFAS CC '!$S$45</f>
        <v>0.98429977792344414</v>
      </c>
      <c r="F244" s="55">
        <f t="shared" si="24"/>
        <v>268.262</v>
      </c>
      <c r="G244" s="56">
        <f t="shared" si="25"/>
        <v>264.05</v>
      </c>
      <c r="H244" s="50" t="s">
        <v>285</v>
      </c>
      <c r="I244" s="39" t="s">
        <v>565</v>
      </c>
      <c r="J244" s="39">
        <v>268.26197910000002</v>
      </c>
      <c r="K244" s="39"/>
      <c r="L244" s="299"/>
      <c r="M244" s="300"/>
      <c r="N244" s="301"/>
      <c r="O244" s="301"/>
      <c r="P244" s="301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s="290" customFormat="1" x14ac:dyDescent="0.25">
      <c r="A245" s="312">
        <f t="shared" si="23"/>
        <v>243</v>
      </c>
      <c r="B245" s="309"/>
      <c r="C245" s="53" t="str">
        <f t="shared" si="16"/>
        <v>6URSBGOLF</v>
      </c>
      <c r="D245" s="53"/>
      <c r="E245" s="54">
        <f>+'CALCULO TARIFAS CC '!$S$45</f>
        <v>0.98429977792344414</v>
      </c>
      <c r="F245" s="55">
        <f t="shared" si="24"/>
        <v>330.19560000000001</v>
      </c>
      <c r="G245" s="56">
        <f t="shared" si="25"/>
        <v>325.01</v>
      </c>
      <c r="H245" s="50" t="s">
        <v>285</v>
      </c>
      <c r="I245" s="39" t="s">
        <v>417</v>
      </c>
      <c r="J245" s="39">
        <v>330.19562819999999</v>
      </c>
      <c r="K245" s="39"/>
      <c r="L245" s="299"/>
      <c r="M245" s="300"/>
      <c r="N245" s="301"/>
      <c r="O245" s="301"/>
      <c r="P245" s="301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s="290" customFormat="1" x14ac:dyDescent="0.25">
      <c r="A246" s="312">
        <f t="shared" si="23"/>
        <v>244</v>
      </c>
      <c r="B246" s="309"/>
      <c r="C246" s="53" t="str">
        <f t="shared" si="16"/>
        <v>6URSBVISTA</v>
      </c>
      <c r="D246" s="53"/>
      <c r="E246" s="54">
        <f>+'CALCULO TARIFAS CC '!$S$45</f>
        <v>0.98429977792344414</v>
      </c>
      <c r="F246" s="55">
        <f t="shared" si="24"/>
        <v>367.59679999999997</v>
      </c>
      <c r="G246" s="56">
        <f t="shared" si="25"/>
        <v>361.83</v>
      </c>
      <c r="H246" s="50" t="s">
        <v>285</v>
      </c>
      <c r="I246" s="39" t="s">
        <v>474</v>
      </c>
      <c r="J246" s="39">
        <v>367.59675199999998</v>
      </c>
      <c r="K246" s="39"/>
      <c r="L246" s="299"/>
      <c r="M246" s="300"/>
      <c r="N246" s="301"/>
      <c r="O246" s="301"/>
      <c r="P246" s="301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s="290" customFormat="1" x14ac:dyDescent="0.25">
      <c r="A247" s="312">
        <f t="shared" si="23"/>
        <v>245</v>
      </c>
      <c r="B247" s="309"/>
      <c r="C247" s="53" t="str">
        <f t="shared" si="16"/>
        <v>6URSCESTE</v>
      </c>
      <c r="D247" s="53"/>
      <c r="E247" s="54">
        <f>+'CALCULO TARIFAS CC '!$S$45</f>
        <v>0.98429977792344414</v>
      </c>
      <c r="F247" s="55">
        <f t="shared" si="24"/>
        <v>432.798</v>
      </c>
      <c r="G247" s="56">
        <f t="shared" si="25"/>
        <v>426</v>
      </c>
      <c r="H247" s="50" t="s">
        <v>285</v>
      </c>
      <c r="I247" s="39" t="s">
        <v>416</v>
      </c>
      <c r="J247" s="39">
        <v>432.79804680000001</v>
      </c>
      <c r="K247" s="39"/>
      <c r="L247" s="299"/>
      <c r="M247" s="300"/>
      <c r="N247" s="301"/>
      <c r="O247" s="301"/>
      <c r="P247" s="301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s="290" customFormat="1" x14ac:dyDescent="0.25">
      <c r="A248" s="312">
        <f t="shared" si="23"/>
        <v>246</v>
      </c>
      <c r="B248" s="309"/>
      <c r="C248" s="53" t="str">
        <f t="shared" ref="C248:C341" si="26">I248</f>
        <v>6URSCHITRE</v>
      </c>
      <c r="D248" s="53"/>
      <c r="E248" s="54">
        <f>+'CALCULO TARIFAS CC '!$S$45</f>
        <v>0.98429977792344414</v>
      </c>
      <c r="F248" s="55">
        <f t="shared" si="24"/>
        <v>76.469800000000006</v>
      </c>
      <c r="G248" s="56">
        <f t="shared" si="25"/>
        <v>75.27</v>
      </c>
      <c r="H248" s="50" t="s">
        <v>285</v>
      </c>
      <c r="I248" s="39" t="s">
        <v>477</v>
      </c>
      <c r="J248" s="39">
        <v>76.469788500000007</v>
      </c>
      <c r="K248" s="39"/>
      <c r="L248" s="299"/>
      <c r="M248" s="300"/>
      <c r="N248" s="301"/>
      <c r="O248" s="301"/>
      <c r="P248" s="301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s="290" customFormat="1" x14ac:dyDescent="0.25">
      <c r="A249" s="312">
        <f t="shared" si="23"/>
        <v>247</v>
      </c>
      <c r="B249" s="309"/>
      <c r="C249" s="53" t="str">
        <f t="shared" si="26"/>
        <v>6URSCORONA</v>
      </c>
      <c r="D249" s="53"/>
      <c r="E249" s="54">
        <f>+'CALCULO TARIFAS CC '!$S$45</f>
        <v>0.98429977792344414</v>
      </c>
      <c r="F249" s="55">
        <f t="shared" si="24"/>
        <v>59.119</v>
      </c>
      <c r="G249" s="56">
        <f t="shared" si="25"/>
        <v>58.19</v>
      </c>
      <c r="H249" s="50" t="s">
        <v>285</v>
      </c>
      <c r="I249" s="39" t="s">
        <v>476</v>
      </c>
      <c r="J249" s="39">
        <v>59.119012900000001</v>
      </c>
      <c r="K249" s="39"/>
      <c r="L249" s="299"/>
      <c r="M249" s="300"/>
      <c r="N249" s="301"/>
      <c r="O249" s="301"/>
      <c r="P249" s="301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s="290" customFormat="1" x14ac:dyDescent="0.25">
      <c r="A250" s="312">
        <f t="shared" si="23"/>
        <v>248</v>
      </c>
      <c r="B250" s="309"/>
      <c r="C250" s="53" t="str">
        <f t="shared" si="26"/>
        <v>6URSHOWARD</v>
      </c>
      <c r="D250" s="53"/>
      <c r="E250" s="54">
        <f>+'CALCULO TARIFAS CC '!$S$45</f>
        <v>0.98429977792344414</v>
      </c>
      <c r="F250" s="55">
        <f t="shared" si="24"/>
        <v>111.3237</v>
      </c>
      <c r="G250" s="56">
        <f t="shared" si="25"/>
        <v>109.58</v>
      </c>
      <c r="H250" s="50" t="s">
        <v>285</v>
      </c>
      <c r="I250" s="39" t="s">
        <v>473</v>
      </c>
      <c r="J250" s="39">
        <v>111.3237464</v>
      </c>
      <c r="K250" s="39"/>
      <c r="L250" s="299"/>
      <c r="M250" s="300"/>
      <c r="N250" s="301"/>
      <c r="O250" s="301"/>
      <c r="P250" s="301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s="290" customFormat="1" x14ac:dyDescent="0.25">
      <c r="A251" s="312">
        <f t="shared" si="23"/>
        <v>249</v>
      </c>
      <c r="B251" s="309"/>
      <c r="C251" s="53" t="str">
        <f t="shared" si="26"/>
        <v>6URSMARKET</v>
      </c>
      <c r="D251" s="53"/>
      <c r="E251" s="54">
        <f>+'CALCULO TARIFAS CC '!$S$45</f>
        <v>0.98429977792344414</v>
      </c>
      <c r="F251" s="55">
        <f t="shared" si="24"/>
        <v>234.49340000000001</v>
      </c>
      <c r="G251" s="56">
        <f t="shared" si="25"/>
        <v>230.81</v>
      </c>
      <c r="H251" s="50" t="s">
        <v>285</v>
      </c>
      <c r="I251" s="39" t="s">
        <v>475</v>
      </c>
      <c r="J251" s="39">
        <v>234.4934193</v>
      </c>
      <c r="K251" s="39"/>
      <c r="L251" s="299"/>
      <c r="M251" s="300"/>
      <c r="N251" s="301"/>
      <c r="O251" s="301"/>
      <c r="P251" s="301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s="290" customFormat="1" x14ac:dyDescent="0.25">
      <c r="A252" s="312">
        <f t="shared" si="23"/>
        <v>250</v>
      </c>
      <c r="B252" s="309"/>
      <c r="C252" s="53" t="str">
        <f t="shared" si="26"/>
        <v>6URSMPLAZA</v>
      </c>
      <c r="D252" s="53"/>
      <c r="E252" s="54">
        <f>+'CALCULO TARIFAS CC '!$S$45</f>
        <v>0.98429977792344414</v>
      </c>
      <c r="F252" s="55">
        <f t="shared" si="24"/>
        <v>267.74720000000002</v>
      </c>
      <c r="G252" s="56">
        <f t="shared" si="25"/>
        <v>263.54000000000002</v>
      </c>
      <c r="H252" s="50" t="s">
        <v>285</v>
      </c>
      <c r="I252" s="39" t="s">
        <v>472</v>
      </c>
      <c r="J252" s="39">
        <v>267.74721419999997</v>
      </c>
      <c r="K252" s="39"/>
      <c r="L252" s="299"/>
      <c r="M252" s="300"/>
      <c r="N252" s="301"/>
      <c r="O252" s="301"/>
      <c r="P252" s="301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s="290" customFormat="1" x14ac:dyDescent="0.25">
      <c r="A253" s="312">
        <f t="shared" si="23"/>
        <v>251</v>
      </c>
      <c r="B253" s="309"/>
      <c r="C253" s="53" t="str">
        <f t="shared" si="26"/>
        <v>6URSPITA</v>
      </c>
      <c r="D253" s="53"/>
      <c r="E253" s="54">
        <f>+'CALCULO TARIFAS CC '!$S$45</f>
        <v>0.98429977792344414</v>
      </c>
      <c r="F253" s="55">
        <f t="shared" si="24"/>
        <v>1204.3915999999999</v>
      </c>
      <c r="G253" s="56">
        <f t="shared" si="25"/>
        <v>1185.48</v>
      </c>
      <c r="H253" s="50" t="s">
        <v>285</v>
      </c>
      <c r="I253" s="39" t="s">
        <v>414</v>
      </c>
      <c r="J253" s="39">
        <v>1204.3916460999999</v>
      </c>
      <c r="K253" s="39"/>
      <c r="L253" s="299"/>
      <c r="M253" s="300"/>
      <c r="N253" s="301"/>
      <c r="O253" s="301"/>
      <c r="P253" s="301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s="290" customFormat="1" x14ac:dyDescent="0.25">
      <c r="A254" s="312">
        <f t="shared" si="23"/>
        <v>252</v>
      </c>
      <c r="B254" s="309"/>
      <c r="C254" s="53" t="str">
        <f t="shared" si="26"/>
        <v>6URSTRANS</v>
      </c>
      <c r="D254" s="53"/>
      <c r="E254" s="54">
        <f>+'CALCULO TARIFAS CC '!$S$45</f>
        <v>0.98429977792344414</v>
      </c>
      <c r="F254" s="55">
        <f t="shared" si="24"/>
        <v>781.10239999999999</v>
      </c>
      <c r="G254" s="56">
        <f t="shared" si="25"/>
        <v>768.84</v>
      </c>
      <c r="H254" s="50" t="s">
        <v>285</v>
      </c>
      <c r="I254" s="39" t="s">
        <v>415</v>
      </c>
      <c r="J254" s="39">
        <v>781.10239220000005</v>
      </c>
      <c r="K254" s="39"/>
      <c r="L254" s="299"/>
      <c r="M254" s="300"/>
      <c r="N254" s="301"/>
      <c r="O254" s="301"/>
      <c r="P254" s="301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s="290" customFormat="1" x14ac:dyDescent="0.25">
      <c r="A255" s="312">
        <f t="shared" si="23"/>
        <v>253</v>
      </c>
      <c r="B255" s="309"/>
      <c r="C255" s="53" t="str">
        <f t="shared" si="26"/>
        <v>6US99ALBRO</v>
      </c>
      <c r="D255" s="53"/>
      <c r="E255" s="54">
        <f>+'CALCULO TARIFAS CC '!$S$45</f>
        <v>0.98429977792344414</v>
      </c>
      <c r="F255" s="55">
        <f t="shared" si="24"/>
        <v>234.64179999999999</v>
      </c>
      <c r="G255" s="56">
        <f t="shared" si="25"/>
        <v>230.96</v>
      </c>
      <c r="H255" s="50" t="s">
        <v>285</v>
      </c>
      <c r="I255" s="39" t="s">
        <v>69</v>
      </c>
      <c r="J255" s="39">
        <v>234.64178889999999</v>
      </c>
      <c r="K255" s="39"/>
      <c r="L255" s="299"/>
      <c r="M255" s="300"/>
      <c r="N255" s="301"/>
      <c r="O255" s="301"/>
      <c r="P255" s="301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s="290" customFormat="1" x14ac:dyDescent="0.25">
      <c r="A256" s="312">
        <f t="shared" si="23"/>
        <v>254</v>
      </c>
      <c r="B256" s="309"/>
      <c r="C256" s="53" t="str">
        <f t="shared" si="26"/>
        <v>6US99_ANDES</v>
      </c>
      <c r="D256" s="53"/>
      <c r="E256" s="54">
        <f>+'CALCULO TARIFAS CC '!$S$45</f>
        <v>0.98429977792344414</v>
      </c>
      <c r="F256" s="55">
        <f t="shared" si="24"/>
        <v>207.80770000000001</v>
      </c>
      <c r="G256" s="56">
        <f t="shared" si="25"/>
        <v>204.55</v>
      </c>
      <c r="H256" s="50" t="s">
        <v>285</v>
      </c>
      <c r="I256" s="39" t="s">
        <v>86</v>
      </c>
      <c r="J256" s="39">
        <v>207.80765070000001</v>
      </c>
      <c r="K256" s="39"/>
      <c r="L256" s="299"/>
      <c r="M256" s="300"/>
      <c r="N256" s="301"/>
      <c r="O256" s="301"/>
      <c r="P256" s="301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s="278" customFormat="1" x14ac:dyDescent="0.25">
      <c r="A257" s="312">
        <f t="shared" si="23"/>
        <v>255</v>
      </c>
      <c r="B257" s="309"/>
      <c r="C257" s="53" t="str">
        <f t="shared" si="26"/>
        <v>6US99_ANDESM</v>
      </c>
      <c r="D257" s="53"/>
      <c r="E257" s="54">
        <f>+'CALCULO TARIFAS CC '!$S$45</f>
        <v>0.98429977792344414</v>
      </c>
      <c r="F257" s="55">
        <f t="shared" si="24"/>
        <v>195.23759999999999</v>
      </c>
      <c r="G257" s="56">
        <f t="shared" si="25"/>
        <v>192.17</v>
      </c>
      <c r="H257" s="50" t="s">
        <v>285</v>
      </c>
      <c r="I257" s="39" t="s">
        <v>87</v>
      </c>
      <c r="J257" s="39">
        <v>195.2376074</v>
      </c>
      <c r="K257" s="39"/>
      <c r="L257" s="299"/>
      <c r="M257" s="300"/>
      <c r="N257" s="301"/>
      <c r="O257" s="301"/>
      <c r="P257" s="301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s="278" customFormat="1" x14ac:dyDescent="0.25">
      <c r="A258" s="312">
        <f t="shared" si="23"/>
        <v>256</v>
      </c>
      <c r="B258" s="309"/>
      <c r="C258" s="53" t="str">
        <f t="shared" si="26"/>
        <v>6US99_ARRAJ</v>
      </c>
      <c r="D258" s="53"/>
      <c r="E258" s="54">
        <f>+'CALCULO TARIFAS CC '!$S$45</f>
        <v>0.98429977792344414</v>
      </c>
      <c r="F258" s="55">
        <f t="shared" si="19"/>
        <v>175.56540000000001</v>
      </c>
      <c r="G258" s="56">
        <f t="shared" si="20"/>
        <v>172.81</v>
      </c>
      <c r="H258" s="50" t="s">
        <v>285</v>
      </c>
      <c r="I258" s="39" t="s">
        <v>88</v>
      </c>
      <c r="J258" s="39">
        <v>175.56535729999999</v>
      </c>
      <c r="K258" s="39"/>
      <c r="L258" s="299"/>
      <c r="M258" s="300"/>
      <c r="N258" s="301"/>
      <c r="O258" s="301"/>
      <c r="P258" s="301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s="278" customFormat="1" x14ac:dyDescent="0.25">
      <c r="A259" s="312">
        <f t="shared" si="23"/>
        <v>257</v>
      </c>
      <c r="B259" s="309"/>
      <c r="C259" s="53" t="str">
        <f t="shared" si="26"/>
        <v>6US99BGOLF</v>
      </c>
      <c r="D259" s="53"/>
      <c r="E259" s="54">
        <f>+'CALCULO TARIFAS CC '!$S$45</f>
        <v>0.98429977792344414</v>
      </c>
      <c r="F259" s="55">
        <f t="shared" si="19"/>
        <v>179.0531</v>
      </c>
      <c r="G259" s="56">
        <f t="shared" si="20"/>
        <v>176.24</v>
      </c>
      <c r="H259" s="50" t="s">
        <v>285</v>
      </c>
      <c r="I259" s="39" t="s">
        <v>70</v>
      </c>
      <c r="J259" s="39">
        <v>179.05313770000001</v>
      </c>
      <c r="K259" s="39"/>
      <c r="L259" s="299"/>
      <c r="M259" s="300"/>
      <c r="N259" s="301"/>
      <c r="O259" s="301"/>
      <c r="P259" s="301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s="278" customFormat="1" x14ac:dyDescent="0.25">
      <c r="A260" s="312">
        <f t="shared" si="23"/>
        <v>258</v>
      </c>
      <c r="B260" s="309"/>
      <c r="C260" s="53" t="str">
        <f t="shared" si="26"/>
        <v>6US99_BGOLFA</v>
      </c>
      <c r="D260" s="53"/>
      <c r="E260" s="54">
        <f>+'CALCULO TARIFAS CC '!$S$45</f>
        <v>0.98429977792344414</v>
      </c>
      <c r="F260" s="55">
        <f t="shared" si="19"/>
        <v>198.29300000000001</v>
      </c>
      <c r="G260" s="56">
        <f t="shared" si="20"/>
        <v>195.18</v>
      </c>
      <c r="H260" s="50" t="s">
        <v>285</v>
      </c>
      <c r="I260" s="39" t="s">
        <v>89</v>
      </c>
      <c r="J260" s="39">
        <v>198.29301960000001</v>
      </c>
      <c r="K260" s="39"/>
      <c r="L260" s="299"/>
      <c r="M260" s="300"/>
      <c r="N260" s="301"/>
      <c r="O260" s="301"/>
      <c r="P260" s="301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s="278" customFormat="1" x14ac:dyDescent="0.25">
      <c r="A261" s="312">
        <f t="shared" si="23"/>
        <v>259</v>
      </c>
      <c r="B261" s="309"/>
      <c r="C261" s="53" t="str">
        <f t="shared" si="26"/>
        <v>6US99_CABIMA</v>
      </c>
      <c r="D261" s="53"/>
      <c r="E261" s="54">
        <f>+'CALCULO TARIFAS CC '!$S$45</f>
        <v>0.98429977792344414</v>
      </c>
      <c r="F261" s="55">
        <f t="shared" si="19"/>
        <v>268.9151</v>
      </c>
      <c r="G261" s="56">
        <f t="shared" si="20"/>
        <v>264.69</v>
      </c>
      <c r="H261" s="50" t="s">
        <v>285</v>
      </c>
      <c r="I261" s="39" t="s">
        <v>90</v>
      </c>
      <c r="J261" s="39">
        <v>268.91506349999997</v>
      </c>
      <c r="K261" s="39"/>
      <c r="L261" s="299"/>
      <c r="M261" s="300"/>
      <c r="N261" s="301"/>
      <c r="O261" s="301"/>
      <c r="P261" s="301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s="278" customFormat="1" x14ac:dyDescent="0.25">
      <c r="A262" s="312">
        <f t="shared" si="23"/>
        <v>260</v>
      </c>
      <c r="B262" s="309"/>
      <c r="C262" s="53" t="str">
        <f t="shared" si="26"/>
        <v>6US99_CENCAL</v>
      </c>
      <c r="D262" s="53"/>
      <c r="E262" s="54">
        <f>+'CALCULO TARIFAS CC '!$S$45</f>
        <v>0.98429977792344414</v>
      </c>
      <c r="F262" s="55">
        <f t="shared" si="19"/>
        <v>94.682500000000005</v>
      </c>
      <c r="G262" s="56">
        <f t="shared" si="20"/>
        <v>93.2</v>
      </c>
      <c r="H262" s="50" t="s">
        <v>285</v>
      </c>
      <c r="I262" s="39" t="s">
        <v>91</v>
      </c>
      <c r="J262" s="39">
        <v>94.682505399999997</v>
      </c>
      <c r="K262" s="39"/>
      <c r="L262" s="299"/>
      <c r="M262" s="300"/>
      <c r="N262" s="301"/>
      <c r="O262" s="301"/>
      <c r="P262" s="301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12">
        <f t="shared" si="23"/>
        <v>261</v>
      </c>
      <c r="B263" s="309"/>
      <c r="C263" s="53" t="str">
        <f t="shared" si="26"/>
        <v>6US99CHITR</v>
      </c>
      <c r="D263" s="53"/>
      <c r="E263" s="54">
        <f>+'CALCULO TARIFAS CC '!$S$45</f>
        <v>0.98429977792344414</v>
      </c>
      <c r="F263" s="55">
        <f t="shared" si="5"/>
        <v>147.46950000000001</v>
      </c>
      <c r="G263" s="56">
        <f t="shared" si="1"/>
        <v>145.15</v>
      </c>
      <c r="H263" s="50" t="s">
        <v>285</v>
      </c>
      <c r="I263" s="39" t="s">
        <v>71</v>
      </c>
      <c r="J263" s="39">
        <v>147.4694915</v>
      </c>
      <c r="K263" s="39"/>
      <c r="L263" s="299"/>
      <c r="M263" s="300"/>
      <c r="N263" s="301"/>
      <c r="O263" s="301"/>
      <c r="P263" s="301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12">
        <f t="shared" si="23"/>
        <v>262</v>
      </c>
      <c r="B264" s="309"/>
      <c r="C264" s="53" t="str">
        <f t="shared" si="26"/>
        <v>6US99_COCO</v>
      </c>
      <c r="D264" s="53"/>
      <c r="E264" s="54">
        <f>+'CALCULO TARIFAS CC '!$S$45</f>
        <v>0.98429977792344414</v>
      </c>
      <c r="F264" s="55">
        <f t="shared" si="5"/>
        <v>195.0849</v>
      </c>
      <c r="G264" s="56">
        <f t="shared" si="1"/>
        <v>192.02</v>
      </c>
      <c r="H264" s="50" t="s">
        <v>285</v>
      </c>
      <c r="I264" s="39" t="s">
        <v>92</v>
      </c>
      <c r="J264" s="39">
        <v>195.08490570000001</v>
      </c>
      <c r="K264" s="39"/>
      <c r="L264" s="299"/>
      <c r="M264" s="300"/>
      <c r="N264" s="301"/>
      <c r="O264" s="301"/>
      <c r="P264" s="301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12">
        <f t="shared" si="23"/>
        <v>263</v>
      </c>
      <c r="B265" s="309"/>
      <c r="C265" s="53" t="str">
        <f t="shared" si="26"/>
        <v>6US99COL2K</v>
      </c>
      <c r="D265" s="53"/>
      <c r="E265" s="54">
        <f>+'CALCULO TARIFAS CC '!$S$45</f>
        <v>0.98429977792344414</v>
      </c>
      <c r="F265" s="55">
        <f t="shared" ref="F265:F272" si="27">ROUND(J265,4)</f>
        <v>145.29839999999999</v>
      </c>
      <c r="G265" s="56">
        <f t="shared" si="1"/>
        <v>143.02000000000001</v>
      </c>
      <c r="H265" s="50" t="s">
        <v>285</v>
      </c>
      <c r="I265" s="39" t="s">
        <v>72</v>
      </c>
      <c r="J265" s="39">
        <v>145.29837269999999</v>
      </c>
      <c r="K265" s="39"/>
      <c r="L265" s="299"/>
      <c r="M265" s="300"/>
      <c r="N265" s="301"/>
      <c r="O265" s="301"/>
      <c r="P265" s="301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s="216" customFormat="1" x14ac:dyDescent="0.25">
      <c r="A266" s="312">
        <f t="shared" si="23"/>
        <v>264</v>
      </c>
      <c r="B266" s="309"/>
      <c r="C266" s="53" t="str">
        <f t="shared" si="26"/>
        <v>6US99_COLMAR</v>
      </c>
      <c r="D266" s="53"/>
      <c r="E266" s="54">
        <f>+'CALCULO TARIFAS CC '!$S$45</f>
        <v>0.98429977792344414</v>
      </c>
      <c r="F266" s="55">
        <f t="shared" si="27"/>
        <v>64.732299999999995</v>
      </c>
      <c r="G266" s="56">
        <f t="shared" si="1"/>
        <v>63.72</v>
      </c>
      <c r="H266" s="50" t="s">
        <v>285</v>
      </c>
      <c r="I266" s="39" t="s">
        <v>93</v>
      </c>
      <c r="J266" s="39">
        <v>64.732294699999997</v>
      </c>
      <c r="K266" s="39"/>
      <c r="L266" s="299"/>
      <c r="M266" s="300"/>
      <c r="N266" s="301"/>
      <c r="O266" s="301"/>
      <c r="P266" s="301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s="216" customFormat="1" x14ac:dyDescent="0.25">
      <c r="A267" s="312">
        <f t="shared" si="23"/>
        <v>265</v>
      </c>
      <c r="B267" s="309"/>
      <c r="C267" s="53" t="str">
        <f t="shared" si="26"/>
        <v>6US99_CONDA</v>
      </c>
      <c r="D267" s="53"/>
      <c r="E267" s="54">
        <f>+'CALCULO TARIFAS CC '!$S$45</f>
        <v>0.98429977792344414</v>
      </c>
      <c r="F267" s="55">
        <f t="shared" si="27"/>
        <v>154.1628</v>
      </c>
      <c r="G267" s="56">
        <f t="shared" si="1"/>
        <v>151.74</v>
      </c>
      <c r="H267" s="50" t="s">
        <v>285</v>
      </c>
      <c r="I267" s="39" t="s">
        <v>94</v>
      </c>
      <c r="J267" s="39">
        <v>154.1628394</v>
      </c>
      <c r="K267" s="39"/>
      <c r="L267" s="299"/>
      <c r="M267" s="300"/>
      <c r="N267" s="301"/>
      <c r="O267" s="301"/>
      <c r="P267" s="301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s="216" customFormat="1" x14ac:dyDescent="0.25">
      <c r="A268" s="312">
        <f t="shared" si="23"/>
        <v>266</v>
      </c>
      <c r="B268" s="309"/>
      <c r="C268" s="53" t="str">
        <f t="shared" si="26"/>
        <v>6US99_CORON</v>
      </c>
      <c r="D268" s="53"/>
      <c r="E268" s="54">
        <f>+'CALCULO TARIFAS CC '!$S$45</f>
        <v>0.98429977792344414</v>
      </c>
      <c r="F268" s="55">
        <f t="shared" si="27"/>
        <v>140.7122</v>
      </c>
      <c r="G268" s="56">
        <f t="shared" si="1"/>
        <v>138.5</v>
      </c>
      <c r="H268" s="50" t="s">
        <v>285</v>
      </c>
      <c r="I268" s="39" t="s">
        <v>95</v>
      </c>
      <c r="J268" s="39">
        <v>140.71215620000001</v>
      </c>
      <c r="K268" s="39"/>
      <c r="L268" s="299"/>
      <c r="M268" s="300"/>
      <c r="N268" s="301"/>
      <c r="O268" s="301"/>
      <c r="P268" s="301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s="216" customFormat="1" x14ac:dyDescent="0.25">
      <c r="A269" s="312">
        <f t="shared" si="23"/>
        <v>267</v>
      </c>
      <c r="B269" s="309"/>
      <c r="C269" s="53" t="str">
        <f t="shared" si="26"/>
        <v>6US99COSTE</v>
      </c>
      <c r="D269" s="53"/>
      <c r="E269" s="54">
        <f>+'CALCULO TARIFAS CC '!$S$45</f>
        <v>0.98429977792344414</v>
      </c>
      <c r="F269" s="55">
        <f t="shared" si="27"/>
        <v>169.13720000000001</v>
      </c>
      <c r="G269" s="56">
        <f t="shared" si="1"/>
        <v>166.48</v>
      </c>
      <c r="H269" s="50" t="s">
        <v>285</v>
      </c>
      <c r="I269" s="39" t="s">
        <v>73</v>
      </c>
      <c r="J269" s="39">
        <v>169.1372045</v>
      </c>
      <c r="K269" s="39"/>
      <c r="L269" s="299"/>
      <c r="M269" s="300"/>
      <c r="N269" s="301"/>
      <c r="O269" s="301"/>
      <c r="P269" s="301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12">
        <f t="shared" si="23"/>
        <v>268</v>
      </c>
      <c r="B270" s="309"/>
      <c r="C270" s="53" t="str">
        <f t="shared" si="26"/>
        <v>6US99DONA</v>
      </c>
      <c r="D270" s="53"/>
      <c r="E270" s="54">
        <f>+'CALCULO TARIFAS CC '!$S$45</f>
        <v>0.98429977792344414</v>
      </c>
      <c r="F270" s="55">
        <f t="shared" si="27"/>
        <v>170.09690000000001</v>
      </c>
      <c r="G270" s="56">
        <f t="shared" si="1"/>
        <v>167.43</v>
      </c>
      <c r="H270" s="50" t="s">
        <v>285</v>
      </c>
      <c r="I270" s="39" t="s">
        <v>74</v>
      </c>
      <c r="J270" s="39">
        <v>170.09689059999999</v>
      </c>
      <c r="K270" s="39"/>
      <c r="L270" s="299"/>
      <c r="M270" s="300"/>
      <c r="N270" s="301"/>
      <c r="O270" s="301"/>
      <c r="P270" s="301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12">
        <f t="shared" si="23"/>
        <v>269</v>
      </c>
      <c r="B271" s="309"/>
      <c r="C271" s="53" t="str">
        <f t="shared" si="26"/>
        <v>6US99_DORADO</v>
      </c>
      <c r="D271" s="53"/>
      <c r="E271" s="54">
        <f>+'CALCULO TARIFAS CC '!$S$45</f>
        <v>0.98429977792344414</v>
      </c>
      <c r="F271" s="55">
        <f t="shared" si="27"/>
        <v>173.1694</v>
      </c>
      <c r="G271" s="56">
        <f t="shared" si="1"/>
        <v>170.45</v>
      </c>
      <c r="H271" s="50" t="s">
        <v>285</v>
      </c>
      <c r="I271" s="39" t="s">
        <v>96</v>
      </c>
      <c r="J271" s="39">
        <v>173.16938909999999</v>
      </c>
      <c r="K271" s="39"/>
      <c r="L271" s="299"/>
      <c r="M271" s="300"/>
      <c r="N271" s="301"/>
      <c r="O271" s="301"/>
      <c r="P271" s="301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12">
        <f t="shared" si="23"/>
        <v>270</v>
      </c>
      <c r="B272" s="309"/>
      <c r="C272" s="53" t="str">
        <f t="shared" si="26"/>
        <v>6US99FARO</v>
      </c>
      <c r="D272" s="53"/>
      <c r="E272" s="54">
        <f>+'CALCULO TARIFAS CC '!$S$45</f>
        <v>0.98429977792344414</v>
      </c>
      <c r="F272" s="55">
        <f t="shared" si="27"/>
        <v>111.9323</v>
      </c>
      <c r="G272" s="56">
        <f t="shared" si="1"/>
        <v>110.17</v>
      </c>
      <c r="H272" s="50" t="s">
        <v>285</v>
      </c>
      <c r="I272" s="39" t="s">
        <v>75</v>
      </c>
      <c r="J272" s="39">
        <v>111.932309</v>
      </c>
      <c r="K272" s="39"/>
      <c r="L272" s="299"/>
      <c r="M272" s="300"/>
      <c r="N272" s="301"/>
      <c r="O272" s="301"/>
      <c r="P272" s="301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s="302" customFormat="1" x14ac:dyDescent="0.25">
      <c r="A273" s="312">
        <f t="shared" si="23"/>
        <v>271</v>
      </c>
      <c r="B273" s="309"/>
      <c r="C273" s="53" t="str">
        <f t="shared" si="26"/>
        <v>6US99_MANAN</v>
      </c>
      <c r="D273" s="53"/>
      <c r="E273" s="54">
        <f>+'CALCULO TARIFAS CC '!$S$45</f>
        <v>0.98429977792344414</v>
      </c>
      <c r="F273" s="55">
        <f t="shared" ref="F273:F336" si="28">ROUND(J273,4)</f>
        <v>193.75319999999999</v>
      </c>
      <c r="G273" s="56">
        <f t="shared" ref="G273:G336" si="29">+ROUND(F273*E273,2)</f>
        <v>190.71</v>
      </c>
      <c r="H273" s="50" t="s">
        <v>285</v>
      </c>
      <c r="I273" s="39" t="s">
        <v>97</v>
      </c>
      <c r="J273" s="39">
        <v>193.75319949999999</v>
      </c>
      <c r="K273" s="39"/>
      <c r="L273" s="299"/>
      <c r="M273" s="300"/>
      <c r="N273" s="301"/>
      <c r="O273" s="301"/>
      <c r="P273" s="301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s="317" customFormat="1" x14ac:dyDescent="0.25">
      <c r="A274" s="312">
        <f t="shared" si="23"/>
        <v>272</v>
      </c>
      <c r="B274" s="309"/>
      <c r="C274" s="53" t="str">
        <f t="shared" si="26"/>
        <v>6US99_MSONA</v>
      </c>
      <c r="D274" s="53"/>
      <c r="E274" s="54">
        <f>+'CALCULO TARIFAS CC '!$S$45</f>
        <v>0.98429977792344414</v>
      </c>
      <c r="F274" s="55">
        <f t="shared" si="28"/>
        <v>83.998999999999995</v>
      </c>
      <c r="G274" s="56">
        <f t="shared" si="29"/>
        <v>82.68</v>
      </c>
      <c r="H274" s="50" t="s">
        <v>285</v>
      </c>
      <c r="I274" s="39" t="s">
        <v>98</v>
      </c>
      <c r="J274" s="39">
        <v>83.998964700000002</v>
      </c>
      <c r="K274" s="39"/>
      <c r="L274" s="299"/>
      <c r="M274" s="300"/>
      <c r="N274" s="301"/>
      <c r="O274" s="301"/>
      <c r="P274" s="301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s="317" customFormat="1" x14ac:dyDescent="0.25">
      <c r="A275" s="312">
        <f t="shared" si="23"/>
        <v>273</v>
      </c>
      <c r="B275" s="309"/>
      <c r="C275" s="53" t="str">
        <f t="shared" si="26"/>
        <v>6US99_ODGCHO</v>
      </c>
      <c r="D275" s="53"/>
      <c r="E275" s="54">
        <f>+'CALCULO TARIFAS CC '!$S$45</f>
        <v>0.98429977792344414</v>
      </c>
      <c r="F275" s="55">
        <f t="shared" si="28"/>
        <v>170.5275</v>
      </c>
      <c r="G275" s="56">
        <f t="shared" si="29"/>
        <v>167.85</v>
      </c>
      <c r="H275" s="50" t="s">
        <v>285</v>
      </c>
      <c r="I275" s="39" t="s">
        <v>99</v>
      </c>
      <c r="J275" s="39">
        <v>170.52752469999999</v>
      </c>
      <c r="K275" s="39"/>
      <c r="L275" s="299"/>
      <c r="M275" s="300"/>
      <c r="N275" s="301"/>
      <c r="O275" s="301"/>
      <c r="P275" s="301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s="317" customFormat="1" x14ac:dyDescent="0.25">
      <c r="A276" s="312">
        <f t="shared" si="23"/>
        <v>274</v>
      </c>
      <c r="B276" s="309"/>
      <c r="C276" s="53" t="str">
        <f t="shared" si="26"/>
        <v>6US99PENON</v>
      </c>
      <c r="D276" s="53"/>
      <c r="E276" s="54">
        <f>+'CALCULO TARIFAS CC '!$S$45</f>
        <v>0.98429977792344414</v>
      </c>
      <c r="F276" s="55">
        <f t="shared" si="28"/>
        <v>146.21279999999999</v>
      </c>
      <c r="G276" s="56">
        <f t="shared" si="29"/>
        <v>143.91999999999999</v>
      </c>
      <c r="H276" s="50" t="s">
        <v>285</v>
      </c>
      <c r="I276" s="39" t="s">
        <v>76</v>
      </c>
      <c r="J276" s="39">
        <v>146.21283339999999</v>
      </c>
      <c r="K276" s="39"/>
      <c r="L276" s="299"/>
      <c r="M276" s="300"/>
      <c r="N276" s="301"/>
      <c r="O276" s="301"/>
      <c r="P276" s="301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s="317" customFormat="1" x14ac:dyDescent="0.25">
      <c r="A277" s="312">
        <f t="shared" si="23"/>
        <v>275</v>
      </c>
      <c r="B277" s="309"/>
      <c r="C277" s="53" t="str">
        <f t="shared" si="26"/>
        <v>6US99PORTO</v>
      </c>
      <c r="D277" s="53"/>
      <c r="E277" s="54">
        <f>+'CALCULO TARIFAS CC '!$S$45</f>
        <v>0.98429977792344414</v>
      </c>
      <c r="F277" s="55">
        <f t="shared" si="28"/>
        <v>200.78489999999999</v>
      </c>
      <c r="G277" s="56">
        <f t="shared" si="29"/>
        <v>197.63</v>
      </c>
      <c r="H277" s="50" t="s">
        <v>285</v>
      </c>
      <c r="I277" s="39" t="s">
        <v>77</v>
      </c>
      <c r="J277" s="39">
        <v>200.78494760000001</v>
      </c>
      <c r="K277" s="39"/>
      <c r="L277" s="299"/>
      <c r="M277" s="300"/>
      <c r="N277" s="301"/>
      <c r="O277" s="301"/>
      <c r="P277" s="301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s="317" customFormat="1" x14ac:dyDescent="0.25">
      <c r="A278" s="312">
        <f t="shared" si="23"/>
        <v>276</v>
      </c>
      <c r="B278" s="309"/>
      <c r="C278" s="53" t="str">
        <f t="shared" si="26"/>
        <v>6US99PTAPA</v>
      </c>
      <c r="D278" s="53"/>
      <c r="E278" s="54">
        <f>+'CALCULO TARIFAS CC '!$S$45</f>
        <v>0.98429977792344414</v>
      </c>
      <c r="F278" s="55">
        <f t="shared" si="28"/>
        <v>216.57210000000001</v>
      </c>
      <c r="G278" s="56">
        <f t="shared" si="29"/>
        <v>213.17</v>
      </c>
      <c r="H278" s="50" t="s">
        <v>285</v>
      </c>
      <c r="I278" s="39" t="s">
        <v>78</v>
      </c>
      <c r="J278" s="39">
        <v>216.57211000000001</v>
      </c>
      <c r="K278" s="39"/>
      <c r="L278" s="299"/>
      <c r="M278" s="300"/>
      <c r="N278" s="301"/>
      <c r="O278" s="301"/>
      <c r="P278" s="301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s="317" customFormat="1" x14ac:dyDescent="0.25">
      <c r="A279" s="312">
        <f t="shared" si="23"/>
        <v>277</v>
      </c>
      <c r="B279" s="309"/>
      <c r="C279" s="53" t="str">
        <f t="shared" si="26"/>
        <v>6US99_PTOESC</v>
      </c>
      <c r="D279" s="53"/>
      <c r="E279" s="54">
        <f>+'CALCULO TARIFAS CC '!$S$45</f>
        <v>0.98429977792344414</v>
      </c>
      <c r="F279" s="55">
        <f t="shared" si="28"/>
        <v>215.57939999999999</v>
      </c>
      <c r="G279" s="56">
        <f t="shared" si="29"/>
        <v>212.19</v>
      </c>
      <c r="H279" s="50" t="s">
        <v>285</v>
      </c>
      <c r="I279" s="39" t="s">
        <v>100</v>
      </c>
      <c r="J279" s="39">
        <v>215.57935879999999</v>
      </c>
      <c r="K279" s="39"/>
      <c r="L279" s="299"/>
      <c r="M279" s="300"/>
      <c r="N279" s="301"/>
      <c r="O279" s="301"/>
      <c r="P279" s="301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s="317" customFormat="1" x14ac:dyDescent="0.25">
      <c r="A280" s="312">
        <f t="shared" si="23"/>
        <v>278</v>
      </c>
      <c r="B280" s="309"/>
      <c r="C280" s="53" t="str">
        <f t="shared" si="26"/>
        <v>6US99_PUEBLO</v>
      </c>
      <c r="D280" s="53"/>
      <c r="E280" s="54">
        <f>+'CALCULO TARIFAS CC '!$S$45</f>
        <v>0.98429977792344414</v>
      </c>
      <c r="F280" s="55">
        <f t="shared" si="28"/>
        <v>192.59129999999999</v>
      </c>
      <c r="G280" s="56">
        <f t="shared" si="29"/>
        <v>189.57</v>
      </c>
      <c r="H280" s="50" t="s">
        <v>285</v>
      </c>
      <c r="I280" s="39" t="s">
        <v>101</v>
      </c>
      <c r="J280" s="39">
        <v>192.5913094</v>
      </c>
      <c r="K280" s="39"/>
      <c r="L280" s="299"/>
      <c r="M280" s="300"/>
      <c r="N280" s="301"/>
      <c r="O280" s="301"/>
      <c r="P280" s="301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s="317" customFormat="1" x14ac:dyDescent="0.25">
      <c r="A281" s="312">
        <f t="shared" si="23"/>
        <v>279</v>
      </c>
      <c r="B281" s="309"/>
      <c r="C281" s="53" t="str">
        <f t="shared" si="26"/>
        <v>6US99PZACA</v>
      </c>
      <c r="D281" s="53"/>
      <c r="E281" s="54">
        <f>+'CALCULO TARIFAS CC '!$S$45</f>
        <v>0.98429977792344414</v>
      </c>
      <c r="F281" s="55">
        <f t="shared" si="28"/>
        <v>19.326899999999998</v>
      </c>
      <c r="G281" s="56">
        <f t="shared" si="29"/>
        <v>19.02</v>
      </c>
      <c r="H281" s="50" t="s">
        <v>285</v>
      </c>
      <c r="I281" s="39" t="s">
        <v>79</v>
      </c>
      <c r="J281" s="39">
        <v>19.326923699999998</v>
      </c>
      <c r="K281" s="39"/>
      <c r="L281" s="299"/>
      <c r="M281" s="300"/>
      <c r="N281" s="301"/>
      <c r="O281" s="301"/>
      <c r="P281" s="301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s="317" customFormat="1" x14ac:dyDescent="0.25">
      <c r="A282" s="312">
        <f t="shared" si="23"/>
        <v>280</v>
      </c>
      <c r="B282" s="309"/>
      <c r="C282" s="53" t="str">
        <f t="shared" si="26"/>
        <v>6US99PZAIT</v>
      </c>
      <c r="D282" s="53"/>
      <c r="E282" s="54">
        <f>+'CALCULO TARIFAS CC '!$S$45</f>
        <v>0.98429977792344414</v>
      </c>
      <c r="F282" s="55">
        <f t="shared" si="28"/>
        <v>138.08799999999999</v>
      </c>
      <c r="G282" s="56">
        <f t="shared" si="29"/>
        <v>135.91999999999999</v>
      </c>
      <c r="H282" s="50" t="s">
        <v>285</v>
      </c>
      <c r="I282" s="39" t="s">
        <v>80</v>
      </c>
      <c r="J282" s="39">
        <v>138.08799930000001</v>
      </c>
      <c r="K282" s="39"/>
      <c r="L282" s="299"/>
      <c r="M282" s="300"/>
      <c r="N282" s="301"/>
      <c r="O282" s="301"/>
      <c r="P282" s="301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s="317" customFormat="1" x14ac:dyDescent="0.25">
      <c r="A283" s="312">
        <f t="shared" si="23"/>
        <v>281</v>
      </c>
      <c r="B283" s="309"/>
      <c r="C283" s="53" t="str">
        <f t="shared" si="26"/>
        <v>6US99PZATO</v>
      </c>
      <c r="D283" s="53"/>
      <c r="E283" s="54">
        <f>+'CALCULO TARIFAS CC '!$S$45</f>
        <v>0.98429977792344414</v>
      </c>
      <c r="F283" s="55">
        <f t="shared" si="28"/>
        <v>192.41460000000001</v>
      </c>
      <c r="G283" s="56">
        <f t="shared" si="29"/>
        <v>189.39</v>
      </c>
      <c r="H283" s="50" t="s">
        <v>285</v>
      </c>
      <c r="I283" s="39" t="s">
        <v>81</v>
      </c>
      <c r="J283" s="39">
        <v>192.41463640000001</v>
      </c>
      <c r="K283" s="39"/>
      <c r="L283" s="299"/>
      <c r="M283" s="300"/>
      <c r="N283" s="301"/>
      <c r="O283" s="301"/>
      <c r="P283" s="301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s="317" customFormat="1" x14ac:dyDescent="0.25">
      <c r="A284" s="312">
        <f t="shared" si="23"/>
        <v>282</v>
      </c>
      <c r="B284" s="309"/>
      <c r="C284" s="53" t="str">
        <f t="shared" si="26"/>
        <v>6US99_RHATO</v>
      </c>
      <c r="D284" s="53"/>
      <c r="E284" s="54">
        <f>+'CALCULO TARIFAS CC '!$S$45</f>
        <v>0.98429977792344414</v>
      </c>
      <c r="F284" s="55">
        <f t="shared" si="28"/>
        <v>178.9597</v>
      </c>
      <c r="G284" s="56">
        <f t="shared" si="29"/>
        <v>176.15</v>
      </c>
      <c r="H284" s="50" t="s">
        <v>285</v>
      </c>
      <c r="I284" s="39" t="s">
        <v>102</v>
      </c>
      <c r="J284" s="39">
        <v>178.95973979999999</v>
      </c>
      <c r="K284" s="39"/>
      <c r="L284" s="299"/>
      <c r="M284" s="300"/>
      <c r="N284" s="301"/>
      <c r="O284" s="301"/>
      <c r="P284" s="301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s="317" customFormat="1" x14ac:dyDescent="0.25">
      <c r="A285" s="312">
        <f t="shared" si="23"/>
        <v>283</v>
      </c>
      <c r="B285" s="309"/>
      <c r="C285" s="53" t="str">
        <f t="shared" si="26"/>
        <v>6US99_RMAR</v>
      </c>
      <c r="D285" s="53"/>
      <c r="E285" s="54">
        <f>+'CALCULO TARIFAS CC '!$S$45</f>
        <v>0.98429977792344414</v>
      </c>
      <c r="F285" s="55">
        <f t="shared" si="28"/>
        <v>458.8664</v>
      </c>
      <c r="G285" s="56">
        <f t="shared" si="29"/>
        <v>451.66</v>
      </c>
      <c r="H285" s="50" t="s">
        <v>285</v>
      </c>
      <c r="I285" s="39" t="s">
        <v>103</v>
      </c>
      <c r="J285" s="39">
        <v>458.86636549999997</v>
      </c>
      <c r="K285" s="39"/>
      <c r="L285" s="299"/>
      <c r="M285" s="300"/>
      <c r="N285" s="301"/>
      <c r="O285" s="301"/>
      <c r="P285" s="301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s="317" customFormat="1" x14ac:dyDescent="0.25">
      <c r="A286" s="312">
        <f t="shared" si="23"/>
        <v>284</v>
      </c>
      <c r="B286" s="309"/>
      <c r="C286" s="53" t="str">
        <f t="shared" si="26"/>
        <v>6US99_SABANI</v>
      </c>
      <c r="D286" s="53"/>
      <c r="E286" s="54">
        <f>+'CALCULO TARIFAS CC '!$S$45</f>
        <v>0.98429977792344414</v>
      </c>
      <c r="F286" s="55">
        <f t="shared" si="28"/>
        <v>153.1268</v>
      </c>
      <c r="G286" s="56">
        <f t="shared" si="29"/>
        <v>150.72</v>
      </c>
      <c r="H286" s="50" t="s">
        <v>285</v>
      </c>
      <c r="I286" s="39" t="s">
        <v>104</v>
      </c>
      <c r="J286" s="39">
        <v>153.1267995</v>
      </c>
      <c r="K286" s="39"/>
      <c r="L286" s="299"/>
      <c r="M286" s="300"/>
      <c r="N286" s="301"/>
      <c r="O286" s="301"/>
      <c r="P286" s="301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s="317" customFormat="1" x14ac:dyDescent="0.25">
      <c r="A287" s="312">
        <f t="shared" si="23"/>
        <v>285</v>
      </c>
      <c r="B287" s="309"/>
      <c r="C287" s="53" t="str">
        <f t="shared" si="26"/>
        <v>6US99SANFR</v>
      </c>
      <c r="D287" s="53"/>
      <c r="E287" s="54">
        <f>+'CALCULO TARIFAS CC '!$S$45</f>
        <v>0.98429977792344414</v>
      </c>
      <c r="F287" s="55">
        <f t="shared" si="28"/>
        <v>169.33330000000001</v>
      </c>
      <c r="G287" s="56">
        <f t="shared" si="29"/>
        <v>166.67</v>
      </c>
      <c r="H287" s="50" t="s">
        <v>285</v>
      </c>
      <c r="I287" s="39" t="s">
        <v>82</v>
      </c>
      <c r="J287" s="39">
        <v>169.3333112</v>
      </c>
      <c r="K287" s="39"/>
      <c r="L287" s="299"/>
      <c r="M287" s="300"/>
      <c r="N287" s="301"/>
      <c r="O287" s="301"/>
      <c r="P287" s="301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s="302" customFormat="1" x14ac:dyDescent="0.25">
      <c r="A288" s="312">
        <f t="shared" si="23"/>
        <v>286</v>
      </c>
      <c r="B288" s="309"/>
      <c r="C288" s="53" t="str">
        <f t="shared" si="26"/>
        <v>6US99SANTI</v>
      </c>
      <c r="D288" s="53"/>
      <c r="E288" s="54">
        <f>+'CALCULO TARIFAS CC '!$S$45</f>
        <v>0.98429977792344414</v>
      </c>
      <c r="F288" s="55">
        <f t="shared" si="28"/>
        <v>162.03039999999999</v>
      </c>
      <c r="G288" s="56">
        <f t="shared" si="29"/>
        <v>159.49</v>
      </c>
      <c r="H288" s="50" t="s">
        <v>285</v>
      </c>
      <c r="I288" s="39" t="s">
        <v>83</v>
      </c>
      <c r="J288" s="39">
        <v>162.03035299999999</v>
      </c>
      <c r="K288" s="39"/>
      <c r="L288" s="299"/>
      <c r="M288" s="300"/>
      <c r="N288" s="301"/>
      <c r="O288" s="301"/>
      <c r="P288" s="301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s="318" customFormat="1" x14ac:dyDescent="0.25">
      <c r="A289" s="312">
        <f t="shared" si="23"/>
        <v>287</v>
      </c>
      <c r="B289" s="309"/>
      <c r="C289" s="53" t="str">
        <f t="shared" si="26"/>
        <v>6US99TMUER</v>
      </c>
      <c r="D289" s="53"/>
      <c r="E289" s="54">
        <f>+'CALCULO TARIFAS CC '!$S$45</f>
        <v>0.98429977792344414</v>
      </c>
      <c r="F289" s="55">
        <f t="shared" si="28"/>
        <v>224.185</v>
      </c>
      <c r="G289" s="56">
        <f t="shared" si="29"/>
        <v>220.67</v>
      </c>
      <c r="H289" s="50" t="s">
        <v>285</v>
      </c>
      <c r="I289" s="39" t="s">
        <v>84</v>
      </c>
      <c r="J289" s="39">
        <v>224.18501319999999</v>
      </c>
      <c r="K289" s="39"/>
      <c r="L289" s="299"/>
      <c r="M289" s="300"/>
      <c r="N289" s="301"/>
      <c r="O289" s="301"/>
      <c r="P289" s="301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s="318" customFormat="1" x14ac:dyDescent="0.25">
      <c r="A290" s="312">
        <f t="shared" si="23"/>
        <v>288</v>
      </c>
      <c r="B290" s="309"/>
      <c r="C290" s="53" t="str">
        <f t="shared" si="26"/>
        <v>6US99_VACAM</v>
      </c>
      <c r="D290" s="53"/>
      <c r="E290" s="54">
        <f>+'CALCULO TARIFAS CC '!$S$45</f>
        <v>0.98429977792344414</v>
      </c>
      <c r="F290" s="55">
        <f t="shared" si="28"/>
        <v>145.35249999999999</v>
      </c>
      <c r="G290" s="56">
        <f t="shared" si="29"/>
        <v>143.07</v>
      </c>
      <c r="H290" s="50" t="s">
        <v>285</v>
      </c>
      <c r="I290" s="39" t="s">
        <v>105</v>
      </c>
      <c r="J290" s="39">
        <v>145.35247770000001</v>
      </c>
      <c r="K290" s="39"/>
      <c r="L290" s="299"/>
      <c r="M290" s="300"/>
      <c r="N290" s="301"/>
      <c r="O290" s="301"/>
      <c r="P290" s="301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s="318" customFormat="1" x14ac:dyDescent="0.25">
      <c r="A291" s="312">
        <f t="shared" si="23"/>
        <v>289</v>
      </c>
      <c r="B291" s="309"/>
      <c r="C291" s="53" t="str">
        <f t="shared" si="26"/>
        <v>6US99_VHERM</v>
      </c>
      <c r="D291" s="53"/>
      <c r="E291" s="54">
        <f>+'CALCULO TARIFAS CC '!$S$45</f>
        <v>0.98429977792344414</v>
      </c>
      <c r="F291" s="55">
        <f t="shared" si="28"/>
        <v>111.6728</v>
      </c>
      <c r="G291" s="56">
        <f t="shared" si="29"/>
        <v>109.92</v>
      </c>
      <c r="H291" s="50" t="s">
        <v>285</v>
      </c>
      <c r="I291" s="39" t="s">
        <v>106</v>
      </c>
      <c r="J291" s="39">
        <v>111.6727684</v>
      </c>
      <c r="K291" s="39"/>
      <c r="L291" s="299"/>
      <c r="M291" s="300"/>
      <c r="N291" s="301"/>
      <c r="O291" s="301"/>
      <c r="P291" s="301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s="318" customFormat="1" x14ac:dyDescent="0.25">
      <c r="A292" s="312">
        <f t="shared" si="23"/>
        <v>290</v>
      </c>
      <c r="B292" s="309"/>
      <c r="C292" s="53" t="str">
        <f t="shared" si="26"/>
        <v>6US99_VLUCRE</v>
      </c>
      <c r="D292" s="53"/>
      <c r="E292" s="54">
        <f>+'CALCULO TARIFAS CC '!$S$45</f>
        <v>0.98429977792344414</v>
      </c>
      <c r="F292" s="55">
        <f t="shared" si="28"/>
        <v>205.92490000000001</v>
      </c>
      <c r="G292" s="56">
        <f t="shared" si="29"/>
        <v>202.69</v>
      </c>
      <c r="H292" s="50" t="s">
        <v>285</v>
      </c>
      <c r="I292" s="39" t="s">
        <v>107</v>
      </c>
      <c r="J292" s="39">
        <v>205.92488779999999</v>
      </c>
      <c r="K292" s="39"/>
      <c r="L292" s="299"/>
      <c r="M292" s="300"/>
      <c r="N292" s="301"/>
      <c r="O292" s="301"/>
      <c r="P292" s="301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s="318" customFormat="1" x14ac:dyDescent="0.25">
      <c r="A293" s="312">
        <f t="shared" si="23"/>
        <v>291</v>
      </c>
      <c r="B293" s="309"/>
      <c r="C293" s="53" t="str">
        <f t="shared" si="26"/>
        <v>6US99VPORR</v>
      </c>
      <c r="D293" s="53"/>
      <c r="E293" s="54">
        <f>+'CALCULO TARIFAS CC '!$S$45</f>
        <v>0.98429977792344414</v>
      </c>
      <c r="F293" s="55">
        <f t="shared" si="28"/>
        <v>173.66980000000001</v>
      </c>
      <c r="G293" s="56">
        <f t="shared" si="29"/>
        <v>170.94</v>
      </c>
      <c r="H293" s="50" t="s">
        <v>285</v>
      </c>
      <c r="I293" s="39" t="s">
        <v>85</v>
      </c>
      <c r="J293" s="39">
        <v>173.6698342</v>
      </c>
      <c r="K293" s="39"/>
      <c r="L293" s="299"/>
      <c r="M293" s="300"/>
      <c r="N293" s="301"/>
      <c r="O293" s="301"/>
      <c r="P293" s="301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s="318" customFormat="1" x14ac:dyDescent="0.25">
      <c r="A294" s="312">
        <f t="shared" si="23"/>
        <v>292</v>
      </c>
      <c r="B294" s="309"/>
      <c r="C294" s="53" t="str">
        <f t="shared" si="26"/>
        <v>6US99_VZAITA</v>
      </c>
      <c r="D294" s="53"/>
      <c r="E294" s="54">
        <f>+'CALCULO TARIFAS CC '!$S$45</f>
        <v>0.98429977792344414</v>
      </c>
      <c r="F294" s="55">
        <f t="shared" si="28"/>
        <v>271.44839999999999</v>
      </c>
      <c r="G294" s="56">
        <f t="shared" si="29"/>
        <v>267.19</v>
      </c>
      <c r="H294" s="50" t="s">
        <v>285</v>
      </c>
      <c r="I294" s="39" t="s">
        <v>108</v>
      </c>
      <c r="J294" s="39">
        <v>271.44837000000001</v>
      </c>
      <c r="K294" s="39"/>
      <c r="L294" s="299"/>
      <c r="M294" s="300"/>
      <c r="N294" s="301"/>
      <c r="O294" s="301"/>
      <c r="P294" s="301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s="318" customFormat="1" x14ac:dyDescent="0.25">
      <c r="A295" s="312">
        <f t="shared" si="23"/>
        <v>293</v>
      </c>
      <c r="B295" s="309"/>
      <c r="C295" s="53" t="str">
        <f t="shared" si="26"/>
        <v>6USCARCLLAN</v>
      </c>
      <c r="D295" s="53"/>
      <c r="E295" s="54">
        <f>+'CALCULO TARIFAS CC '!$S$45</f>
        <v>0.98429977792344414</v>
      </c>
      <c r="F295" s="55">
        <f t="shared" si="28"/>
        <v>121.6705</v>
      </c>
      <c r="G295" s="56">
        <f t="shared" si="29"/>
        <v>119.76</v>
      </c>
      <c r="H295" s="50" t="s">
        <v>285</v>
      </c>
      <c r="I295" s="39" t="s">
        <v>495</v>
      </c>
      <c r="J295" s="39">
        <v>121.67052889999999</v>
      </c>
      <c r="K295" s="39"/>
      <c r="L295" s="299"/>
      <c r="M295" s="300"/>
      <c r="N295" s="301"/>
      <c r="O295" s="301"/>
      <c r="P295" s="301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s="318" customFormat="1" x14ac:dyDescent="0.25">
      <c r="A296" s="312">
        <f t="shared" si="23"/>
        <v>294</v>
      </c>
      <c r="B296" s="309"/>
      <c r="C296" s="53" t="str">
        <f t="shared" si="26"/>
        <v>6USCARPME</v>
      </c>
      <c r="D296" s="53"/>
      <c r="E296" s="54">
        <f>+'CALCULO TARIFAS CC '!$S$45</f>
        <v>0.98429977792344414</v>
      </c>
      <c r="F296" s="55">
        <f t="shared" si="28"/>
        <v>116.6082</v>
      </c>
      <c r="G296" s="56">
        <f t="shared" si="29"/>
        <v>114.78</v>
      </c>
      <c r="H296" s="50" t="s">
        <v>285</v>
      </c>
      <c r="I296" s="39" t="s">
        <v>494</v>
      </c>
      <c r="J296" s="39">
        <v>116.6081678</v>
      </c>
      <c r="K296" s="39"/>
      <c r="L296" s="299"/>
      <c r="M296" s="300"/>
      <c r="N296" s="301"/>
      <c r="O296" s="301"/>
      <c r="P296" s="301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s="318" customFormat="1" x14ac:dyDescent="0.25">
      <c r="A297" s="312">
        <f t="shared" si="23"/>
        <v>295</v>
      </c>
      <c r="B297" s="309"/>
      <c r="C297" s="53" t="str">
        <f t="shared" si="26"/>
        <v>6USCARTSAN</v>
      </c>
      <c r="D297" s="53"/>
      <c r="E297" s="54">
        <f>+'CALCULO TARIFAS CC '!$S$45</f>
        <v>0.98429977792344414</v>
      </c>
      <c r="F297" s="55">
        <f t="shared" si="28"/>
        <v>125.6938</v>
      </c>
      <c r="G297" s="56">
        <f t="shared" si="29"/>
        <v>123.72</v>
      </c>
      <c r="H297" s="50" t="s">
        <v>285</v>
      </c>
      <c r="I297" s="39" t="s">
        <v>422</v>
      </c>
      <c r="J297" s="39">
        <v>125.6937587</v>
      </c>
      <c r="K297" s="39"/>
      <c r="L297" s="345"/>
      <c r="M297" s="300"/>
      <c r="N297" s="301"/>
      <c r="O297" s="301"/>
      <c r="P297" s="301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s="318" customFormat="1" x14ac:dyDescent="0.25">
      <c r="A298" s="312">
        <f t="shared" si="23"/>
        <v>296</v>
      </c>
      <c r="B298" s="309"/>
      <c r="C298" s="53" t="str">
        <f t="shared" si="26"/>
        <v>6USCARVALG</v>
      </c>
      <c r="D298" s="53"/>
      <c r="E298" s="54">
        <f>+'CALCULO TARIFAS CC '!$S$45</f>
        <v>0.98429977792344414</v>
      </c>
      <c r="F298" s="55">
        <f t="shared" si="28"/>
        <v>172.57419999999999</v>
      </c>
      <c r="G298" s="56">
        <f t="shared" si="29"/>
        <v>169.86</v>
      </c>
      <c r="H298" s="50" t="s">
        <v>285</v>
      </c>
      <c r="I298" s="39" t="s">
        <v>493</v>
      </c>
      <c r="J298" s="39">
        <v>172.57419139999999</v>
      </c>
      <c r="K298" s="39"/>
      <c r="L298" s="299"/>
      <c r="M298" s="300"/>
      <c r="N298" s="301"/>
      <c r="O298" s="301"/>
      <c r="P298" s="301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s="318" customFormat="1" x14ac:dyDescent="0.25">
      <c r="A299" s="312">
        <f t="shared" si="23"/>
        <v>297</v>
      </c>
      <c r="B299" s="309"/>
      <c r="C299" s="53" t="str">
        <f t="shared" si="26"/>
        <v>6USERVICAR</v>
      </c>
      <c r="D299" s="53"/>
      <c r="E299" s="54">
        <f>+'CALCULO TARIFAS CC '!$S$45</f>
        <v>0.98429977792344414</v>
      </c>
      <c r="F299" s="55">
        <f t="shared" si="28"/>
        <v>196.31530000000001</v>
      </c>
      <c r="G299" s="56">
        <f t="shared" si="29"/>
        <v>193.23</v>
      </c>
      <c r="H299" s="50" t="s">
        <v>285</v>
      </c>
      <c r="I299" s="39" t="s">
        <v>423</v>
      </c>
      <c r="J299" s="39">
        <v>196.3152825</v>
      </c>
      <c r="K299" s="39"/>
      <c r="L299" s="299"/>
      <c r="M299" s="300"/>
      <c r="N299" s="301"/>
      <c r="O299" s="301"/>
      <c r="P299" s="301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s="318" customFormat="1" x14ac:dyDescent="0.25">
      <c r="A300" s="312">
        <f t="shared" si="23"/>
        <v>298</v>
      </c>
      <c r="B300" s="309"/>
      <c r="C300" s="53" t="str">
        <f t="shared" si="26"/>
        <v>6USMARIABD</v>
      </c>
      <c r="D300" s="53"/>
      <c r="E300" s="54">
        <f>+'CALCULO TARIFAS CC '!$S$45</f>
        <v>0.98429977792344414</v>
      </c>
      <c r="F300" s="55">
        <f t="shared" si="28"/>
        <v>155.72319999999999</v>
      </c>
      <c r="G300" s="56">
        <f t="shared" si="29"/>
        <v>153.28</v>
      </c>
      <c r="H300" s="50" t="s">
        <v>285</v>
      </c>
      <c r="I300" s="39" t="s">
        <v>109</v>
      </c>
      <c r="J300" s="39">
        <v>155.7232084</v>
      </c>
      <c r="K300" s="39"/>
      <c r="L300" s="299"/>
      <c r="M300" s="300"/>
      <c r="N300" s="301"/>
      <c r="O300" s="301"/>
      <c r="P300" s="301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s="318" customFormat="1" x14ac:dyDescent="0.25">
      <c r="A301" s="312">
        <f t="shared" ref="A301:A341" si="30">A300+1</f>
        <v>299</v>
      </c>
      <c r="B301" s="309"/>
      <c r="C301" s="53" t="str">
        <f t="shared" si="26"/>
        <v>6USORTIS</v>
      </c>
      <c r="D301" s="53"/>
      <c r="E301" s="54">
        <f>+'CALCULO TARIFAS CC '!$S$45</f>
        <v>0.98429977792344414</v>
      </c>
      <c r="F301" s="55">
        <f t="shared" si="28"/>
        <v>970.74919999999997</v>
      </c>
      <c r="G301" s="56">
        <f t="shared" si="29"/>
        <v>955.51</v>
      </c>
      <c r="H301" s="50" t="s">
        <v>285</v>
      </c>
      <c r="I301" s="39" t="s">
        <v>682</v>
      </c>
      <c r="J301" s="39">
        <v>970.74915590000001</v>
      </c>
      <c r="K301" s="39"/>
      <c r="L301" s="299"/>
      <c r="M301" s="300"/>
      <c r="N301" s="301"/>
      <c r="O301" s="301"/>
      <c r="P301" s="301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s="318" customFormat="1" x14ac:dyDescent="0.25">
      <c r="A302" s="312">
        <f t="shared" si="30"/>
        <v>300</v>
      </c>
      <c r="B302" s="309"/>
      <c r="C302" s="53" t="str">
        <f t="shared" si="26"/>
        <v>6USORTIS3</v>
      </c>
      <c r="D302" s="53"/>
      <c r="E302" s="54">
        <f>+'CALCULO TARIFAS CC '!$S$45</f>
        <v>0.98429977792344414</v>
      </c>
      <c r="F302" s="55">
        <f t="shared" si="28"/>
        <v>198.5273</v>
      </c>
      <c r="G302" s="56">
        <f t="shared" si="29"/>
        <v>195.41</v>
      </c>
      <c r="H302" s="50" t="s">
        <v>285</v>
      </c>
      <c r="I302" s="39" t="s">
        <v>513</v>
      </c>
      <c r="J302" s="39">
        <v>198.52732019999999</v>
      </c>
      <c r="K302" s="39"/>
      <c r="L302" s="299"/>
      <c r="M302" s="300"/>
      <c r="N302" s="301"/>
      <c r="O302" s="301"/>
      <c r="P302" s="301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s="318" customFormat="1" x14ac:dyDescent="0.25">
      <c r="A303" s="312">
        <f t="shared" si="30"/>
        <v>301</v>
      </c>
      <c r="B303" s="309"/>
      <c r="C303" s="53" t="str">
        <f t="shared" si="26"/>
        <v>6USUNSTAR</v>
      </c>
      <c r="D303" s="53"/>
      <c r="E303" s="54">
        <f>+'CALCULO TARIFAS CC '!$S$45</f>
        <v>0.98429977792344414</v>
      </c>
      <c r="F303" s="55">
        <f t="shared" si="28"/>
        <v>443.39420000000001</v>
      </c>
      <c r="G303" s="56">
        <f t="shared" si="29"/>
        <v>436.43</v>
      </c>
      <c r="H303" s="50" t="s">
        <v>285</v>
      </c>
      <c r="I303" s="39" t="s">
        <v>110</v>
      </c>
      <c r="J303" s="39">
        <v>443.39424450000001</v>
      </c>
      <c r="K303" s="39"/>
      <c r="L303" s="299"/>
      <c r="M303" s="300"/>
      <c r="N303" s="301"/>
      <c r="O303" s="301"/>
      <c r="P303" s="301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s="318" customFormat="1" x14ac:dyDescent="0.25">
      <c r="A304" s="312">
        <f t="shared" si="30"/>
        <v>302</v>
      </c>
      <c r="B304" s="309"/>
      <c r="C304" s="53" t="str">
        <f t="shared" si="26"/>
        <v>6UTDNO_CHO</v>
      </c>
      <c r="D304" s="53"/>
      <c r="E304" s="54">
        <f>+'CALCULO TARIFAS CC '!$S$45</f>
        <v>0.98429977792344414</v>
      </c>
      <c r="F304" s="55">
        <f t="shared" si="28"/>
        <v>181.81379999999999</v>
      </c>
      <c r="G304" s="56">
        <f t="shared" si="29"/>
        <v>178.96</v>
      </c>
      <c r="H304" s="50" t="s">
        <v>285</v>
      </c>
      <c r="I304" s="39" t="s">
        <v>381</v>
      </c>
      <c r="J304" s="39">
        <v>181.81377130000001</v>
      </c>
      <c r="K304" s="39"/>
      <c r="L304" s="299"/>
      <c r="M304" s="300"/>
      <c r="N304" s="301"/>
      <c r="O304" s="301"/>
      <c r="P304" s="301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s="318" customFormat="1" x14ac:dyDescent="0.25">
      <c r="A305" s="312">
        <f t="shared" si="30"/>
        <v>303</v>
      </c>
      <c r="B305" s="309"/>
      <c r="C305" s="53" t="str">
        <f t="shared" si="26"/>
        <v>6UTDNO_PAV</v>
      </c>
      <c r="D305" s="53"/>
      <c r="E305" s="54">
        <f>+'CALCULO TARIFAS CC '!$S$45</f>
        <v>0.98429977792344414</v>
      </c>
      <c r="F305" s="55">
        <f t="shared" si="28"/>
        <v>318.27379999999999</v>
      </c>
      <c r="G305" s="56">
        <f t="shared" si="29"/>
        <v>313.27999999999997</v>
      </c>
      <c r="H305" s="50" t="s">
        <v>285</v>
      </c>
      <c r="I305" s="39" t="s">
        <v>382</v>
      </c>
      <c r="J305" s="39">
        <v>318.2737869</v>
      </c>
      <c r="K305" s="39"/>
      <c r="L305" s="299"/>
      <c r="M305" s="300"/>
      <c r="N305" s="301"/>
      <c r="O305" s="301"/>
      <c r="P305" s="301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s="318" customFormat="1" x14ac:dyDescent="0.25">
      <c r="A306" s="312">
        <f t="shared" si="30"/>
        <v>304</v>
      </c>
      <c r="B306" s="309"/>
      <c r="C306" s="53" t="str">
        <f t="shared" si="26"/>
        <v>6UTDNO_PMA</v>
      </c>
      <c r="D306" s="53"/>
      <c r="E306" s="54">
        <f>+'CALCULO TARIFAS CC '!$S$45</f>
        <v>0.98429977792344414</v>
      </c>
      <c r="F306" s="55">
        <f t="shared" si="28"/>
        <v>1498.8731</v>
      </c>
      <c r="G306" s="56">
        <f t="shared" si="29"/>
        <v>1475.34</v>
      </c>
      <c r="H306" s="50" t="s">
        <v>285</v>
      </c>
      <c r="I306" s="39" t="s">
        <v>380</v>
      </c>
      <c r="J306" s="39">
        <v>1498.8730803999999</v>
      </c>
      <c r="K306" s="39"/>
      <c r="L306" s="299"/>
      <c r="M306" s="300"/>
      <c r="N306" s="301"/>
      <c r="O306" s="301"/>
      <c r="P306" s="301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s="318" customFormat="1" x14ac:dyDescent="0.25">
      <c r="A307" s="312">
        <f t="shared" si="30"/>
        <v>305</v>
      </c>
      <c r="B307" s="309"/>
      <c r="C307" s="53" t="str">
        <f t="shared" si="26"/>
        <v>6GTECNISOL1</v>
      </c>
      <c r="D307" s="53"/>
      <c r="E307" s="54">
        <f>+'CALCULO TARIFAS CC '!$S$45</f>
        <v>0.98429977792344414</v>
      </c>
      <c r="F307" s="55">
        <f t="shared" si="28"/>
        <v>6.5254000000000003</v>
      </c>
      <c r="G307" s="56">
        <f t="shared" si="29"/>
        <v>6.42</v>
      </c>
      <c r="H307" s="50" t="s">
        <v>285</v>
      </c>
      <c r="I307" s="39" t="s">
        <v>433</v>
      </c>
      <c r="J307" s="39">
        <v>6.5254240000000001</v>
      </c>
      <c r="K307" s="39"/>
      <c r="L307" s="299"/>
      <c r="M307" s="300"/>
      <c r="N307" s="301"/>
      <c r="O307" s="301"/>
      <c r="P307" s="301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s="318" customFormat="1" x14ac:dyDescent="0.25">
      <c r="A308" s="312">
        <f t="shared" si="30"/>
        <v>306</v>
      </c>
      <c r="B308" s="309"/>
      <c r="C308" s="53" t="str">
        <f t="shared" si="26"/>
        <v>6GTECNISOL2</v>
      </c>
      <c r="D308" s="53"/>
      <c r="E308" s="54">
        <f>+'CALCULO TARIFAS CC '!$S$45</f>
        <v>0.98429977792344414</v>
      </c>
      <c r="F308" s="55">
        <f t="shared" si="28"/>
        <v>5.6921999999999997</v>
      </c>
      <c r="G308" s="56">
        <f t="shared" si="29"/>
        <v>5.6</v>
      </c>
      <c r="H308" s="50" t="s">
        <v>285</v>
      </c>
      <c r="I308" s="39" t="s">
        <v>434</v>
      </c>
      <c r="J308" s="39">
        <v>5.6921754</v>
      </c>
      <c r="K308" s="39"/>
      <c r="L308" s="299"/>
      <c r="M308" s="300"/>
      <c r="N308" s="301"/>
      <c r="O308" s="301"/>
      <c r="P308" s="301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s="302" customFormat="1" x14ac:dyDescent="0.25">
      <c r="A309" s="312">
        <f t="shared" si="30"/>
        <v>307</v>
      </c>
      <c r="B309" s="309"/>
      <c r="C309" s="53" t="str">
        <f t="shared" si="26"/>
        <v>6GTECNISOL3</v>
      </c>
      <c r="D309" s="53"/>
      <c r="E309" s="54">
        <f>+'CALCULO TARIFAS CC '!$S$45</f>
        <v>0.98429977792344414</v>
      </c>
      <c r="F309" s="55">
        <f t="shared" si="28"/>
        <v>6.1401000000000003</v>
      </c>
      <c r="G309" s="56">
        <f t="shared" si="29"/>
        <v>6.04</v>
      </c>
      <c r="H309" s="50" t="s">
        <v>285</v>
      </c>
      <c r="I309" s="39" t="s">
        <v>435</v>
      </c>
      <c r="J309" s="39">
        <v>6.1400784000000002</v>
      </c>
      <c r="K309" s="39"/>
      <c r="L309" s="299"/>
      <c r="M309" s="300"/>
      <c r="N309" s="301"/>
      <c r="O309" s="301"/>
      <c r="P309" s="301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s="302" customFormat="1" x14ac:dyDescent="0.25">
      <c r="A310" s="312">
        <f t="shared" si="30"/>
        <v>308</v>
      </c>
      <c r="B310" s="309"/>
      <c r="C310" s="53" t="str">
        <f t="shared" si="26"/>
        <v>6GTECNISOL4</v>
      </c>
      <c r="D310" s="53"/>
      <c r="E310" s="54">
        <f>+'CALCULO TARIFAS CC '!$S$45</f>
        <v>0.98429977792344414</v>
      </c>
      <c r="F310" s="55">
        <f t="shared" si="28"/>
        <v>6.2942999999999998</v>
      </c>
      <c r="G310" s="56">
        <f t="shared" si="29"/>
        <v>6.2</v>
      </c>
      <c r="H310" s="50" t="s">
        <v>285</v>
      </c>
      <c r="I310" s="39" t="s">
        <v>436</v>
      </c>
      <c r="J310" s="39">
        <v>6.2943207000000001</v>
      </c>
      <c r="K310" s="39"/>
      <c r="L310" s="299"/>
      <c r="M310" s="300"/>
      <c r="N310" s="301"/>
      <c r="O310" s="301"/>
      <c r="P310" s="301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s="302" customFormat="1" x14ac:dyDescent="0.25">
      <c r="A311" s="312">
        <f t="shared" si="30"/>
        <v>309</v>
      </c>
      <c r="B311" s="309"/>
      <c r="C311" s="53" t="str">
        <f t="shared" si="26"/>
        <v>6UTMECDEP</v>
      </c>
      <c r="D311" s="53"/>
      <c r="E311" s="54">
        <f>+'CALCULO TARIFAS CC '!$S$45</f>
        <v>0.98429977792344414</v>
      </c>
      <c r="F311" s="55">
        <f t="shared" si="28"/>
        <v>1525.3896999999999</v>
      </c>
      <c r="G311" s="56">
        <f t="shared" si="29"/>
        <v>1501.44</v>
      </c>
      <c r="H311" s="50" t="s">
        <v>285</v>
      </c>
      <c r="I311" s="39" t="s">
        <v>413</v>
      </c>
      <c r="J311" s="39">
        <v>1525.3897202000001</v>
      </c>
      <c r="K311" s="39"/>
      <c r="L311" s="345"/>
      <c r="M311" s="300"/>
      <c r="N311" s="301"/>
      <c r="O311" s="301"/>
      <c r="P311" s="301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s="302" customFormat="1" x14ac:dyDescent="0.25">
      <c r="A312" s="312">
        <f t="shared" si="30"/>
        <v>310</v>
      </c>
      <c r="B312" s="309"/>
      <c r="C312" s="53" t="str">
        <f t="shared" si="26"/>
        <v>6UTORREALBA</v>
      </c>
      <c r="D312" s="53"/>
      <c r="E312" s="54">
        <f>+'CALCULO TARIFAS CC '!$S$45</f>
        <v>0.98429977792344414</v>
      </c>
      <c r="F312" s="55">
        <f t="shared" si="28"/>
        <v>262.91590000000002</v>
      </c>
      <c r="G312" s="56">
        <f t="shared" si="29"/>
        <v>258.79000000000002</v>
      </c>
      <c r="H312" s="50" t="s">
        <v>285</v>
      </c>
      <c r="I312" s="39" t="s">
        <v>379</v>
      </c>
      <c r="J312" s="39">
        <v>262.91592789999999</v>
      </c>
      <c r="K312" s="39"/>
      <c r="L312" s="345"/>
      <c r="M312" s="300"/>
      <c r="N312" s="301"/>
      <c r="O312" s="301"/>
      <c r="P312" s="301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s="302" customFormat="1" x14ac:dyDescent="0.25">
      <c r="A313" s="312">
        <f t="shared" si="30"/>
        <v>311</v>
      </c>
      <c r="B313" s="309"/>
      <c r="C313" s="53" t="str">
        <f t="shared" si="26"/>
        <v>6UTUBOTEC</v>
      </c>
      <c r="D313" s="53"/>
      <c r="E313" s="54">
        <f>+'CALCULO TARIFAS CC '!$S$45</f>
        <v>0.98429977792344414</v>
      </c>
      <c r="F313" s="55">
        <f t="shared" si="28"/>
        <v>730.14369999999997</v>
      </c>
      <c r="G313" s="56">
        <f t="shared" si="29"/>
        <v>718.68</v>
      </c>
      <c r="H313" s="50" t="s">
        <v>285</v>
      </c>
      <c r="I313" s="39" t="s">
        <v>378</v>
      </c>
      <c r="J313" s="39">
        <v>730.14369350000004</v>
      </c>
      <c r="K313" s="39"/>
      <c r="L313" s="345"/>
      <c r="M313" s="300"/>
      <c r="N313" s="301"/>
      <c r="O313" s="301"/>
      <c r="P313" s="301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s="302" customFormat="1" x14ac:dyDescent="0.25">
      <c r="A314" s="312">
        <f t="shared" si="30"/>
        <v>312</v>
      </c>
      <c r="B314" s="309"/>
      <c r="C314" s="53" t="str">
        <f t="shared" si="26"/>
        <v>6UTZANETATOS</v>
      </c>
      <c r="D314" s="53"/>
      <c r="E314" s="54">
        <f>+'CALCULO TARIFAS CC '!$S$45</f>
        <v>0.98429977792344414</v>
      </c>
      <c r="F314" s="55">
        <f t="shared" si="28"/>
        <v>134.63390000000001</v>
      </c>
      <c r="G314" s="56">
        <f t="shared" si="29"/>
        <v>132.52000000000001</v>
      </c>
      <c r="H314" s="50" t="s">
        <v>285</v>
      </c>
      <c r="I314" s="39" t="s">
        <v>683</v>
      </c>
      <c r="J314" s="39">
        <v>134.63392099999999</v>
      </c>
      <c r="K314" s="39"/>
      <c r="L314" s="345"/>
      <c r="M314" s="300"/>
      <c r="N314" s="301"/>
      <c r="O314" s="301"/>
      <c r="P314" s="301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s="302" customFormat="1" x14ac:dyDescent="0.25">
      <c r="A315" s="312">
        <f t="shared" si="30"/>
        <v>313</v>
      </c>
      <c r="B315" s="309"/>
      <c r="C315" s="53" t="str">
        <f t="shared" si="26"/>
        <v>6GUEPPME1</v>
      </c>
      <c r="D315" s="53"/>
      <c r="E315" s="54">
        <f>+'CALCULO TARIFAS CC '!$S$45</f>
        <v>0.98429977792344414</v>
      </c>
      <c r="F315" s="55">
        <f t="shared" si="28"/>
        <v>60.963700000000003</v>
      </c>
      <c r="G315" s="56">
        <f t="shared" si="29"/>
        <v>60.01</v>
      </c>
      <c r="H315" s="50" t="s">
        <v>285</v>
      </c>
      <c r="I315" s="39" t="s">
        <v>585</v>
      </c>
      <c r="J315" s="39">
        <v>60.963692899999998</v>
      </c>
      <c r="K315" s="39"/>
      <c r="L315" s="345"/>
      <c r="M315" s="300"/>
      <c r="N315" s="301"/>
      <c r="O315" s="301"/>
      <c r="P315" s="301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s="302" customFormat="1" x14ac:dyDescent="0.25">
      <c r="A316" s="312">
        <f t="shared" si="30"/>
        <v>314</v>
      </c>
      <c r="B316" s="309"/>
      <c r="C316" s="53" t="str">
        <f t="shared" si="26"/>
        <v>6GUEPPME2</v>
      </c>
      <c r="D316" s="53"/>
      <c r="E316" s="54">
        <f>+'CALCULO TARIFAS CC '!$S$45</f>
        <v>0.98429977792344414</v>
      </c>
      <c r="F316" s="55">
        <f t="shared" si="28"/>
        <v>347.15559999999999</v>
      </c>
      <c r="G316" s="56">
        <f t="shared" si="29"/>
        <v>341.71</v>
      </c>
      <c r="H316" s="50" t="s">
        <v>285</v>
      </c>
      <c r="I316" s="39" t="s">
        <v>564</v>
      </c>
      <c r="J316" s="39">
        <v>347.15560950000003</v>
      </c>
      <c r="K316" s="39"/>
      <c r="L316" s="345"/>
      <c r="M316" s="300"/>
      <c r="N316" s="301"/>
      <c r="O316" s="301"/>
      <c r="P316" s="301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s="345" customFormat="1" x14ac:dyDescent="0.25">
      <c r="A317" s="312">
        <f t="shared" si="30"/>
        <v>315</v>
      </c>
      <c r="B317" s="309"/>
      <c r="C317" s="53" t="str">
        <f t="shared" si="26"/>
        <v>6UVH_CIA</v>
      </c>
      <c r="D317" s="53"/>
      <c r="E317" s="54">
        <f>+'CALCULO TARIFAS CC '!$S$45</f>
        <v>0.98429977792344414</v>
      </c>
      <c r="F317" s="55">
        <f t="shared" si="28"/>
        <v>74.143100000000004</v>
      </c>
      <c r="G317" s="56">
        <f t="shared" si="29"/>
        <v>72.98</v>
      </c>
      <c r="H317" s="50" t="s">
        <v>285</v>
      </c>
      <c r="I317" s="39" t="s">
        <v>111</v>
      </c>
      <c r="J317" s="39">
        <v>74.1431355</v>
      </c>
      <c r="K317" s="39"/>
      <c r="M317" s="300"/>
      <c r="N317" s="301"/>
      <c r="O317" s="301"/>
      <c r="P317" s="301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s="345" customFormat="1" x14ac:dyDescent="0.25">
      <c r="A318" s="312">
        <f t="shared" si="30"/>
        <v>316</v>
      </c>
      <c r="B318" s="309"/>
      <c r="C318" s="53" t="str">
        <f t="shared" si="26"/>
        <v>6UVH_DES</v>
      </c>
      <c r="D318" s="53"/>
      <c r="E318" s="54">
        <f>+'CALCULO TARIFAS CC '!$S$45</f>
        <v>0.98429977792344414</v>
      </c>
      <c r="F318" s="55">
        <f t="shared" si="28"/>
        <v>366.69170000000003</v>
      </c>
      <c r="G318" s="56">
        <f t="shared" si="29"/>
        <v>360.93</v>
      </c>
      <c r="H318" s="50" t="s">
        <v>285</v>
      </c>
      <c r="I318" s="39" t="s">
        <v>360</v>
      </c>
      <c r="J318" s="39">
        <v>366.69166860000001</v>
      </c>
      <c r="K318" s="39"/>
      <c r="M318" s="300"/>
      <c r="N318" s="301"/>
      <c r="O318" s="301"/>
      <c r="P318" s="301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s="345" customFormat="1" x14ac:dyDescent="0.25">
      <c r="A319" s="312">
        <f t="shared" si="30"/>
        <v>317</v>
      </c>
      <c r="B319" s="309"/>
      <c r="C319" s="53" t="str">
        <f t="shared" si="26"/>
        <v>6UVH_TOC</v>
      </c>
      <c r="D319" s="53"/>
      <c r="E319" s="54">
        <f>+'CALCULO TARIFAS CC '!$S$45</f>
        <v>0.98429977792344414</v>
      </c>
      <c r="F319" s="55">
        <f t="shared" si="28"/>
        <v>40.3996</v>
      </c>
      <c r="G319" s="56">
        <f t="shared" si="29"/>
        <v>39.770000000000003</v>
      </c>
      <c r="H319" s="50" t="s">
        <v>285</v>
      </c>
      <c r="I319" s="39" t="s">
        <v>372</v>
      </c>
      <c r="J319" s="39">
        <v>40.399638500000002</v>
      </c>
      <c r="K319" s="39"/>
      <c r="M319" s="300"/>
      <c r="N319" s="301"/>
      <c r="O319" s="301"/>
      <c r="P319" s="301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s="345" customFormat="1" x14ac:dyDescent="0.25">
      <c r="A320" s="312">
        <f t="shared" si="30"/>
        <v>318</v>
      </c>
      <c r="B320" s="309"/>
      <c r="C320" s="53" t="str">
        <f t="shared" si="26"/>
        <v>6UVIVUNIDOS</v>
      </c>
      <c r="D320" s="53"/>
      <c r="E320" s="54">
        <f>+'CALCULO TARIFAS CC '!$S$45</f>
        <v>0.98429977792344414</v>
      </c>
      <c r="F320" s="55">
        <f t="shared" si="28"/>
        <v>196.87360000000001</v>
      </c>
      <c r="G320" s="56">
        <f t="shared" si="29"/>
        <v>193.78</v>
      </c>
      <c r="H320" s="50" t="s">
        <v>285</v>
      </c>
      <c r="I320" s="39" t="s">
        <v>684</v>
      </c>
      <c r="J320" s="39">
        <v>196.87357689999999</v>
      </c>
      <c r="K320" s="39"/>
      <c r="M320" s="300"/>
      <c r="N320" s="301"/>
      <c r="O320" s="301"/>
      <c r="P320" s="301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s="345" customFormat="1" x14ac:dyDescent="0.25">
      <c r="A321" s="312">
        <f t="shared" si="30"/>
        <v>319</v>
      </c>
      <c r="B321" s="309"/>
      <c r="C321" s="53" t="str">
        <f t="shared" si="26"/>
        <v>6UVMERCA</v>
      </c>
      <c r="D321" s="53"/>
      <c r="E321" s="54">
        <f>+'CALCULO TARIFAS CC '!$S$45</f>
        <v>0.98429977792344414</v>
      </c>
      <c r="F321" s="55">
        <f t="shared" si="28"/>
        <v>64.798100000000005</v>
      </c>
      <c r="G321" s="56">
        <f t="shared" si="29"/>
        <v>63.78</v>
      </c>
      <c r="H321" s="50" t="s">
        <v>285</v>
      </c>
      <c r="I321" s="39" t="s">
        <v>567</v>
      </c>
      <c r="J321" s="39">
        <v>64.798107700000003</v>
      </c>
      <c r="K321" s="39"/>
      <c r="M321" s="300"/>
      <c r="N321" s="301"/>
      <c r="O321" s="301"/>
      <c r="P321" s="301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s="345" customFormat="1" x14ac:dyDescent="0.25">
      <c r="A322" s="312">
        <f t="shared" si="30"/>
        <v>320</v>
      </c>
      <c r="B322" s="309"/>
      <c r="C322" s="53" t="str">
        <f t="shared" si="26"/>
        <v>6UXACACIA</v>
      </c>
      <c r="D322" s="53"/>
      <c r="E322" s="54">
        <f>+'CALCULO TARIFAS CC '!$S$45</f>
        <v>0.98429977792344414</v>
      </c>
      <c r="F322" s="55">
        <f t="shared" si="28"/>
        <v>289.00450000000001</v>
      </c>
      <c r="G322" s="56">
        <f t="shared" si="29"/>
        <v>284.47000000000003</v>
      </c>
      <c r="H322" s="50" t="s">
        <v>285</v>
      </c>
      <c r="I322" s="39" t="s">
        <v>394</v>
      </c>
      <c r="J322" s="39">
        <v>289.00451329999999</v>
      </c>
      <c r="K322" s="39"/>
      <c r="M322" s="300"/>
      <c r="N322" s="301"/>
      <c r="O322" s="301"/>
      <c r="P322" s="301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s="345" customFormat="1" x14ac:dyDescent="0.25">
      <c r="A323" s="312">
        <f t="shared" si="30"/>
        <v>321</v>
      </c>
      <c r="B323" s="309"/>
      <c r="C323" s="53" t="str">
        <f t="shared" si="26"/>
        <v>6UXALBROOK</v>
      </c>
      <c r="D323" s="53"/>
      <c r="E323" s="54">
        <f>+'CALCULO TARIFAS CC '!$S$45</f>
        <v>0.98429977792344414</v>
      </c>
      <c r="F323" s="55">
        <f t="shared" si="28"/>
        <v>159.7328</v>
      </c>
      <c r="G323" s="56">
        <f t="shared" si="29"/>
        <v>157.22</v>
      </c>
      <c r="H323" s="50" t="s">
        <v>285</v>
      </c>
      <c r="I323" s="39" t="s">
        <v>478</v>
      </c>
      <c r="J323" s="39">
        <v>159.73279099999999</v>
      </c>
      <c r="K323" s="39"/>
      <c r="M323" s="300"/>
      <c r="N323" s="301"/>
      <c r="O323" s="301"/>
      <c r="P323" s="301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s="345" customFormat="1" x14ac:dyDescent="0.25">
      <c r="A324" s="312">
        <f t="shared" si="30"/>
        <v>322</v>
      </c>
      <c r="B324" s="309"/>
      <c r="C324" s="53" t="str">
        <f t="shared" si="26"/>
        <v>6UXANCLAS</v>
      </c>
      <c r="D324" s="53"/>
      <c r="E324" s="54">
        <f>+'CALCULO TARIFAS CC '!$S$45</f>
        <v>0.98429977792344414</v>
      </c>
      <c r="F324" s="55">
        <f t="shared" si="28"/>
        <v>130.95529999999999</v>
      </c>
      <c r="G324" s="56">
        <f t="shared" si="29"/>
        <v>128.9</v>
      </c>
      <c r="H324" s="50" t="s">
        <v>285</v>
      </c>
      <c r="I324" s="39" t="s">
        <v>387</v>
      </c>
      <c r="J324" s="39">
        <v>130.9552588</v>
      </c>
      <c r="K324" s="39"/>
      <c r="M324" s="300"/>
      <c r="N324" s="301"/>
      <c r="O324" s="301"/>
      <c r="P324" s="301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s="345" customFormat="1" x14ac:dyDescent="0.25">
      <c r="A325" s="312">
        <f t="shared" si="30"/>
        <v>323</v>
      </c>
      <c r="B325" s="309"/>
      <c r="C325" s="53" t="str">
        <f t="shared" si="26"/>
        <v>6UXARRAIJ</v>
      </c>
      <c r="D325" s="53"/>
      <c r="E325" s="54">
        <f>+'CALCULO TARIFAS CC '!$S$45</f>
        <v>0.98429977792344414</v>
      </c>
      <c r="F325" s="55">
        <f t="shared" si="28"/>
        <v>329.22519999999997</v>
      </c>
      <c r="G325" s="56">
        <f t="shared" si="29"/>
        <v>324.06</v>
      </c>
      <c r="H325" s="50" t="s">
        <v>285</v>
      </c>
      <c r="I325" s="39" t="s">
        <v>427</v>
      </c>
      <c r="J325" s="39">
        <v>329.22515509999999</v>
      </c>
      <c r="K325" s="39"/>
      <c r="L325" s="299"/>
      <c r="M325" s="300"/>
      <c r="N325" s="301"/>
      <c r="O325" s="301"/>
      <c r="P325" s="301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s="345" customFormat="1" x14ac:dyDescent="0.25">
      <c r="A326" s="312">
        <f t="shared" si="30"/>
        <v>324</v>
      </c>
      <c r="B326" s="309"/>
      <c r="C326" s="53" t="str">
        <f t="shared" si="26"/>
        <v>6UXCHITRE</v>
      </c>
      <c r="D326" s="53"/>
      <c r="E326" s="54">
        <f>+'CALCULO TARIFAS CC '!$S$45</f>
        <v>0.98429977792344414</v>
      </c>
      <c r="F326" s="55">
        <f t="shared" si="28"/>
        <v>244.17449999999999</v>
      </c>
      <c r="G326" s="56">
        <f t="shared" si="29"/>
        <v>240.34</v>
      </c>
      <c r="H326" s="50" t="s">
        <v>285</v>
      </c>
      <c r="I326" s="39" t="s">
        <v>389</v>
      </c>
      <c r="J326" s="39">
        <v>244.1744898</v>
      </c>
      <c r="K326" s="39"/>
      <c r="L326" s="299"/>
      <c r="M326" s="300"/>
      <c r="N326" s="301"/>
      <c r="O326" s="301"/>
      <c r="P326" s="301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s="345" customFormat="1" x14ac:dyDescent="0.25">
      <c r="A327" s="312">
        <f t="shared" si="30"/>
        <v>325</v>
      </c>
      <c r="B327" s="309"/>
      <c r="C327" s="53" t="str">
        <f t="shared" si="26"/>
        <v>6UXCREY</v>
      </c>
      <c r="D327" s="53"/>
      <c r="E327" s="54">
        <f>+'CALCULO TARIFAS CC '!$S$45</f>
        <v>0.98429977792344414</v>
      </c>
      <c r="F327" s="55">
        <f t="shared" si="28"/>
        <v>284.84179999999998</v>
      </c>
      <c r="G327" s="56">
        <f t="shared" si="29"/>
        <v>280.37</v>
      </c>
      <c r="H327" s="50" t="s">
        <v>285</v>
      </c>
      <c r="I327" s="39" t="s">
        <v>392</v>
      </c>
      <c r="J327" s="39">
        <v>284.84181589999997</v>
      </c>
      <c r="K327" s="39"/>
      <c r="L327" s="299"/>
      <c r="M327" s="300"/>
      <c r="N327" s="301"/>
      <c r="O327" s="301"/>
      <c r="P327" s="301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s="302" customFormat="1" x14ac:dyDescent="0.25">
      <c r="A328" s="312">
        <f t="shared" si="30"/>
        <v>326</v>
      </c>
      <c r="B328" s="309"/>
      <c r="C328" s="53" t="str">
        <f t="shared" si="26"/>
        <v>6UXDAVID</v>
      </c>
      <c r="D328" s="53"/>
      <c r="E328" s="54">
        <f>+'CALCULO TARIFAS CC '!$S$45</f>
        <v>0.98429977792344414</v>
      </c>
      <c r="F328" s="55">
        <f t="shared" si="28"/>
        <v>207.21520000000001</v>
      </c>
      <c r="G328" s="56">
        <f t="shared" si="29"/>
        <v>203.96</v>
      </c>
      <c r="H328" s="50" t="s">
        <v>285</v>
      </c>
      <c r="I328" s="39" t="s">
        <v>391</v>
      </c>
      <c r="J328" s="39">
        <v>207.2152059</v>
      </c>
      <c r="K328" s="39"/>
      <c r="L328" s="299"/>
      <c r="M328" s="300"/>
      <c r="N328" s="301"/>
      <c r="O328" s="301"/>
      <c r="P328" s="301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s="302" customFormat="1" x14ac:dyDescent="0.25">
      <c r="A329" s="312">
        <f t="shared" si="30"/>
        <v>327</v>
      </c>
      <c r="B329" s="309"/>
      <c r="C329" s="53" t="str">
        <f t="shared" si="26"/>
        <v>6UXELCOCO</v>
      </c>
      <c r="D329" s="53"/>
      <c r="E329" s="54">
        <f>+'CALCULO TARIFAS CC '!$S$45</f>
        <v>0.98429977792344414</v>
      </c>
      <c r="F329" s="55">
        <f t="shared" si="28"/>
        <v>288.31799999999998</v>
      </c>
      <c r="G329" s="56">
        <f t="shared" si="29"/>
        <v>283.79000000000002</v>
      </c>
      <c r="H329" s="50" t="s">
        <v>285</v>
      </c>
      <c r="I329" s="39" t="s">
        <v>455</v>
      </c>
      <c r="J329" s="39">
        <v>288.31803339999999</v>
      </c>
      <c r="K329" s="39"/>
      <c r="L329" s="299"/>
      <c r="M329" s="300"/>
      <c r="N329" s="301"/>
      <c r="O329" s="301"/>
      <c r="P329" s="301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s="302" customFormat="1" x14ac:dyDescent="0.25">
      <c r="A330" s="312">
        <f t="shared" si="30"/>
        <v>328</v>
      </c>
      <c r="B330" s="309"/>
      <c r="C330" s="53" t="str">
        <f t="shared" si="26"/>
        <v>6UXLAGO</v>
      </c>
      <c r="D330" s="53"/>
      <c r="E330" s="54">
        <f>+'CALCULO TARIFAS CC '!$S$45</f>
        <v>0.98429977792344414</v>
      </c>
      <c r="F330" s="55">
        <f t="shared" si="28"/>
        <v>170.64920000000001</v>
      </c>
      <c r="G330" s="56">
        <f t="shared" si="29"/>
        <v>167.97</v>
      </c>
      <c r="H330" s="50" t="s">
        <v>285</v>
      </c>
      <c r="I330" s="39" t="s">
        <v>393</v>
      </c>
      <c r="J330" s="39">
        <v>170.6492322</v>
      </c>
      <c r="K330" s="39"/>
      <c r="L330" s="299"/>
      <c r="M330" s="300"/>
      <c r="N330" s="301"/>
      <c r="O330" s="301"/>
      <c r="P330" s="301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s="302" customFormat="1" x14ac:dyDescent="0.25">
      <c r="A331" s="312">
        <f t="shared" si="30"/>
        <v>329</v>
      </c>
      <c r="B331" s="309"/>
      <c r="C331" s="53" t="str">
        <f t="shared" si="26"/>
        <v>6UXMRICO</v>
      </c>
      <c r="D331" s="53"/>
      <c r="E331" s="54">
        <f>+'CALCULO TARIFAS CC '!$S$45</f>
        <v>0.98429977792344414</v>
      </c>
      <c r="F331" s="55">
        <f t="shared" si="28"/>
        <v>370.28309999999999</v>
      </c>
      <c r="G331" s="56">
        <f t="shared" si="29"/>
        <v>364.47</v>
      </c>
      <c r="H331" s="50" t="s">
        <v>285</v>
      </c>
      <c r="I331" s="39" t="s">
        <v>396</v>
      </c>
      <c r="J331" s="39">
        <v>370.28313739999999</v>
      </c>
      <c r="K331" s="39"/>
      <c r="L331" s="345"/>
      <c r="M331" s="300"/>
      <c r="N331" s="301"/>
      <c r="O331" s="301"/>
      <c r="P331" s="301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12">
        <f t="shared" si="30"/>
        <v>330</v>
      </c>
      <c r="B332" s="309"/>
      <c r="C332" s="53" t="str">
        <f t="shared" si="26"/>
        <v>6UXOAGUA</v>
      </c>
      <c r="D332" s="53"/>
      <c r="E332" s="54">
        <f>+'CALCULO TARIFAS CC '!$S$45</f>
        <v>0.98429977792344414</v>
      </c>
      <c r="F332" s="55">
        <f t="shared" si="28"/>
        <v>407.13740000000001</v>
      </c>
      <c r="G332" s="56">
        <f t="shared" si="29"/>
        <v>400.75</v>
      </c>
      <c r="H332" s="50" t="s">
        <v>285</v>
      </c>
      <c r="I332" s="39" t="s">
        <v>398</v>
      </c>
      <c r="J332" s="39">
        <v>407.13743950000003</v>
      </c>
      <c r="K332" s="39"/>
      <c r="L332" s="345"/>
      <c r="M332" s="300"/>
      <c r="N332" s="301"/>
      <c r="O332" s="301"/>
      <c r="P332" s="301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s="313" customFormat="1" x14ac:dyDescent="0.25">
      <c r="A333" s="312">
        <f t="shared" si="30"/>
        <v>331</v>
      </c>
      <c r="B333" s="309"/>
      <c r="C333" s="53" t="str">
        <f t="shared" si="26"/>
        <v>6UXOFICENT</v>
      </c>
      <c r="D333" s="53"/>
      <c r="E333" s="54">
        <f>+'CALCULO TARIFAS CC '!$S$45</f>
        <v>0.98429977792344414</v>
      </c>
      <c r="F333" s="55">
        <f t="shared" si="28"/>
        <v>105.1022</v>
      </c>
      <c r="G333" s="56">
        <f t="shared" si="29"/>
        <v>103.45</v>
      </c>
      <c r="H333" s="50" t="s">
        <v>285</v>
      </c>
      <c r="I333" s="39" t="s">
        <v>397</v>
      </c>
      <c r="J333" s="39">
        <v>105.1022435</v>
      </c>
      <c r="K333" s="39"/>
      <c r="L333" s="345"/>
      <c r="M333" s="300"/>
      <c r="N333" s="301"/>
      <c r="O333" s="301"/>
      <c r="P333" s="301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s="313" customFormat="1" x14ac:dyDescent="0.25">
      <c r="A334" s="312">
        <f t="shared" si="30"/>
        <v>332</v>
      </c>
      <c r="B334" s="309"/>
      <c r="C334" s="53" t="str">
        <f t="shared" si="26"/>
        <v>6UXPACORA</v>
      </c>
      <c r="D334" s="53"/>
      <c r="E334" s="54">
        <f>+'CALCULO TARIFAS CC '!$S$45</f>
        <v>0.98429977792344414</v>
      </c>
      <c r="F334" s="55">
        <f t="shared" si="28"/>
        <v>154.5565</v>
      </c>
      <c r="G334" s="56">
        <f t="shared" si="29"/>
        <v>152.13</v>
      </c>
      <c r="H334" s="50" t="s">
        <v>285</v>
      </c>
      <c r="I334" s="39" t="s">
        <v>399</v>
      </c>
      <c r="J334" s="39">
        <v>154.55652219999999</v>
      </c>
      <c r="K334" s="39"/>
      <c r="L334" s="345"/>
      <c r="M334" s="300"/>
      <c r="N334" s="301"/>
      <c r="O334" s="301"/>
      <c r="P334" s="301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s="313" customFormat="1" x14ac:dyDescent="0.25">
      <c r="A335" s="312">
        <f t="shared" si="30"/>
        <v>333</v>
      </c>
      <c r="B335" s="309"/>
      <c r="C335" s="53" t="str">
        <f t="shared" si="26"/>
        <v>6UXPNOME</v>
      </c>
      <c r="D335" s="53"/>
      <c r="E335" s="54">
        <f>+'CALCULO TARIFAS CC '!$S$45</f>
        <v>0.98429977792344414</v>
      </c>
      <c r="F335" s="55">
        <f t="shared" si="28"/>
        <v>163.55590000000001</v>
      </c>
      <c r="G335" s="56">
        <f t="shared" si="29"/>
        <v>160.99</v>
      </c>
      <c r="H335" s="50" t="s">
        <v>285</v>
      </c>
      <c r="I335" s="39" t="s">
        <v>685</v>
      </c>
      <c r="J335" s="39">
        <v>163.5558618</v>
      </c>
      <c r="K335" s="39"/>
      <c r="L335" s="345"/>
      <c r="M335" s="300"/>
      <c r="N335" s="301"/>
      <c r="O335" s="301"/>
      <c r="P335" s="301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s="313" customFormat="1" x14ac:dyDescent="0.25">
      <c r="A336" s="312">
        <f t="shared" si="30"/>
        <v>334</v>
      </c>
      <c r="B336" s="309"/>
      <c r="C336" s="53" t="str">
        <f t="shared" si="26"/>
        <v>6UXPUEBLO</v>
      </c>
      <c r="D336" s="53"/>
      <c r="E336" s="54">
        <f>+'CALCULO TARIFAS CC '!$S$45</f>
        <v>0.98429977792344414</v>
      </c>
      <c r="F336" s="55">
        <f t="shared" si="28"/>
        <v>274.0575</v>
      </c>
      <c r="G336" s="56">
        <f t="shared" si="29"/>
        <v>269.75</v>
      </c>
      <c r="H336" s="50" t="s">
        <v>285</v>
      </c>
      <c r="I336" s="39" t="s">
        <v>395</v>
      </c>
      <c r="J336" s="39">
        <v>274.05745239999999</v>
      </c>
      <c r="K336" s="39"/>
      <c r="L336" s="345"/>
      <c r="M336" s="300"/>
      <c r="N336" s="301"/>
      <c r="O336" s="301"/>
      <c r="P336" s="301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7" s="313" customFormat="1" x14ac:dyDescent="0.25">
      <c r="A337" s="312">
        <f t="shared" si="30"/>
        <v>335</v>
      </c>
      <c r="B337" s="309"/>
      <c r="C337" s="53" t="str">
        <f t="shared" si="26"/>
        <v>6UXSBANITA</v>
      </c>
      <c r="D337" s="53"/>
      <c r="E337" s="54">
        <f>+'CALCULO TARIFAS CC '!$S$45</f>
        <v>0.98429977792344414</v>
      </c>
      <c r="F337" s="55">
        <f t="shared" ref="F337:F341" si="31">ROUND(J337,4)</f>
        <v>125.1712</v>
      </c>
      <c r="G337" s="56">
        <f t="shared" ref="G337:G341" si="32">+ROUND(F337*E337,2)</f>
        <v>123.21</v>
      </c>
      <c r="H337" s="50" t="s">
        <v>285</v>
      </c>
      <c r="I337" s="39" t="s">
        <v>388</v>
      </c>
      <c r="J337" s="39">
        <v>125.1711731</v>
      </c>
      <c r="K337" s="39"/>
      <c r="L337" s="345"/>
      <c r="M337" s="300"/>
      <c r="N337" s="301"/>
      <c r="O337" s="301"/>
      <c r="P337" s="301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7" s="313" customFormat="1" x14ac:dyDescent="0.25">
      <c r="A338" s="312">
        <f t="shared" si="30"/>
        <v>336</v>
      </c>
      <c r="B338" s="309"/>
      <c r="C338" s="53" t="str">
        <f t="shared" si="26"/>
        <v>6UXSMGTO</v>
      </c>
      <c r="D338" s="53"/>
      <c r="E338" s="54">
        <f>+'CALCULO TARIFAS CC '!$S$45</f>
        <v>0.98429977792344414</v>
      </c>
      <c r="F338" s="55">
        <f t="shared" si="31"/>
        <v>244.88499999999999</v>
      </c>
      <c r="G338" s="56">
        <f t="shared" si="32"/>
        <v>241.04</v>
      </c>
      <c r="H338" s="50" t="s">
        <v>285</v>
      </c>
      <c r="I338" s="39" t="s">
        <v>400</v>
      </c>
      <c r="J338" s="39">
        <v>244.88498240000001</v>
      </c>
      <c r="K338" s="39"/>
      <c r="L338" s="345"/>
      <c r="M338" s="300"/>
      <c r="N338" s="301"/>
      <c r="O338" s="301"/>
      <c r="P338" s="301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7" s="313" customFormat="1" x14ac:dyDescent="0.25">
      <c r="A339" s="312">
        <f t="shared" si="30"/>
        <v>337</v>
      </c>
      <c r="B339" s="309"/>
      <c r="C339" s="53" t="str">
        <f t="shared" si="26"/>
        <v>6UXSTGO</v>
      </c>
      <c r="D339" s="53"/>
      <c r="E339" s="54">
        <f>+'CALCULO TARIFAS CC '!$S$45</f>
        <v>0.98429977792344414</v>
      </c>
      <c r="F339" s="55">
        <f t="shared" si="31"/>
        <v>119.17910000000001</v>
      </c>
      <c r="G339" s="56">
        <f t="shared" si="32"/>
        <v>117.31</v>
      </c>
      <c r="H339" s="50" t="s">
        <v>285</v>
      </c>
      <c r="I339" s="39" t="s">
        <v>390</v>
      </c>
      <c r="J339" s="39">
        <v>119.17906139999999</v>
      </c>
      <c r="K339" s="39"/>
      <c r="L339" s="345"/>
      <c r="M339" s="300"/>
      <c r="N339" s="301"/>
      <c r="O339" s="301"/>
      <c r="P339" s="301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7" s="313" customFormat="1" x14ac:dyDescent="0.25">
      <c r="A340" s="312">
        <f t="shared" si="30"/>
        <v>338</v>
      </c>
      <c r="B340" s="309"/>
      <c r="C340" s="53" t="str">
        <f t="shared" si="26"/>
        <v>6UXVALEGRE</v>
      </c>
      <c r="D340" s="53"/>
      <c r="E340" s="54">
        <f>+'CALCULO TARIFAS CC '!$S$45</f>
        <v>0.98429977792344414</v>
      </c>
      <c r="F340" s="55">
        <f t="shared" si="31"/>
        <v>254.53550000000001</v>
      </c>
      <c r="G340" s="56">
        <f t="shared" si="32"/>
        <v>250.54</v>
      </c>
      <c r="H340" s="50" t="s">
        <v>285</v>
      </c>
      <c r="I340" s="39" t="s">
        <v>428</v>
      </c>
      <c r="J340" s="39">
        <v>254.5354815</v>
      </c>
      <c r="K340" s="39"/>
      <c r="L340" s="345"/>
      <c r="M340" s="300"/>
      <c r="N340" s="301"/>
      <c r="O340" s="301"/>
      <c r="P340" s="301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7" s="313" customFormat="1" ht="15.75" thickBot="1" x14ac:dyDescent="0.3">
      <c r="A341" s="312">
        <f t="shared" si="30"/>
        <v>339</v>
      </c>
      <c r="B341" s="309"/>
      <c r="C341" s="53" t="str">
        <f t="shared" si="26"/>
        <v>6UXVLUCRE</v>
      </c>
      <c r="D341" s="53"/>
      <c r="E341" s="54">
        <f>+'CALCULO TARIFAS CC '!$S$45</f>
        <v>0.98429977792344414</v>
      </c>
      <c r="F341" s="55">
        <f t="shared" si="31"/>
        <v>106.21080000000001</v>
      </c>
      <c r="G341" s="56">
        <f t="shared" si="32"/>
        <v>104.54</v>
      </c>
      <c r="H341" s="50" t="s">
        <v>285</v>
      </c>
      <c r="I341" s="39" t="s">
        <v>401</v>
      </c>
      <c r="J341" s="39">
        <v>106.21079829999999</v>
      </c>
      <c r="K341" s="39"/>
      <c r="L341" s="345"/>
      <c r="M341" s="300"/>
      <c r="N341" s="301"/>
      <c r="O341" s="301"/>
      <c r="P341" s="301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7" ht="12.75" customHeight="1" thickBot="1" x14ac:dyDescent="0.3">
      <c r="A342" s="310"/>
      <c r="B342" s="102"/>
      <c r="C342" s="103" t="s">
        <v>314</v>
      </c>
      <c r="D342" s="103"/>
      <c r="E342" s="103"/>
      <c r="F342" s="105">
        <f>ROUND(SUM(F3:F341),4)</f>
        <v>889429.81019999995</v>
      </c>
      <c r="G342" s="107">
        <f>SUM(G3:G341)</f>
        <v>875465.57000000018</v>
      </c>
      <c r="H342" s="38"/>
      <c r="I342" s="38"/>
      <c r="J342" s="39"/>
      <c r="K342" s="39"/>
      <c r="M342" s="303"/>
      <c r="N342" s="301"/>
      <c r="O342" s="301"/>
      <c r="P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7" ht="15.75" thickBot="1" x14ac:dyDescent="0.3">
      <c r="A343" s="108">
        <f>A341+1</f>
        <v>340</v>
      </c>
      <c r="B343" s="109" t="s">
        <v>14</v>
      </c>
      <c r="C343" s="110" t="str">
        <f t="shared" ref="C343" si="33">I343</f>
        <v>5DICE</v>
      </c>
      <c r="D343" s="110" t="s">
        <v>316</v>
      </c>
      <c r="E343" s="111">
        <f>+'CALCULO TARIFAS CC '!R45</f>
        <v>2.0388311271554831</v>
      </c>
      <c r="F343" s="105">
        <f t="shared" ref="F343:F381" si="34">ROUND(J343,4)</f>
        <v>773375.24</v>
      </c>
      <c r="G343" s="107">
        <f>+ROUND(F343*E343,2)</f>
        <v>1576781.51</v>
      </c>
      <c r="H343" s="50" t="s">
        <v>311</v>
      </c>
      <c r="I343" s="346" t="s">
        <v>112</v>
      </c>
      <c r="J343" s="27">
        <v>773375.24</v>
      </c>
      <c r="K343" s="39"/>
      <c r="M343" s="300"/>
      <c r="N343" s="301"/>
      <c r="O343" s="301"/>
      <c r="P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7" ht="12.75" customHeight="1" x14ac:dyDescent="0.25">
      <c r="A344" s="44">
        <f t="shared" ref="A344:A381" si="35">+A343+1</f>
        <v>341</v>
      </c>
      <c r="B344" s="45" t="s">
        <v>13</v>
      </c>
      <c r="C344" s="46" t="str">
        <f>UPPER(I344)</f>
        <v>4DDISNORTE</v>
      </c>
      <c r="D344" s="46"/>
      <c r="E344" s="47">
        <f>+'CALCULO TARIFAS CC '!$Q$45</f>
        <v>0.89458498473189119</v>
      </c>
      <c r="F344" s="112">
        <f t="shared" si="34"/>
        <v>172608.837</v>
      </c>
      <c r="G344" s="49">
        <f t="shared" ref="G344:G381" si="36">+ROUND(F344*E344,2)</f>
        <v>154413.26999999999</v>
      </c>
      <c r="H344" s="50" t="s">
        <v>308</v>
      </c>
      <c r="I344" s="87" t="s">
        <v>522</v>
      </c>
      <c r="J344" s="114">
        <v>172608.837</v>
      </c>
      <c r="K344" s="39"/>
      <c r="M344" s="300"/>
      <c r="N344" s="301"/>
      <c r="O344" s="301"/>
      <c r="P344" s="39"/>
      <c r="R344" s="39"/>
      <c r="S344" s="39"/>
      <c r="T344" s="39"/>
      <c r="U344" s="39"/>
      <c r="V344" s="39"/>
      <c r="W344" s="39"/>
      <c r="X344" s="39"/>
      <c r="Y344" s="39"/>
      <c r="Z344" s="39"/>
      <c r="AA344" s="223"/>
    </row>
    <row r="345" spans="1:27" ht="14.25" customHeight="1" x14ac:dyDescent="0.25">
      <c r="A345" s="51">
        <f t="shared" si="35"/>
        <v>342</v>
      </c>
      <c r="B345" s="52"/>
      <c r="C345" s="53" t="str">
        <f t="shared" ref="C345:C381" si="37">UPPER(I345)</f>
        <v>4DDISSUR</v>
      </c>
      <c r="D345" s="53"/>
      <c r="E345" s="54">
        <f>+'CALCULO TARIFAS CC '!$Q$45</f>
        <v>0.89458498473189119</v>
      </c>
      <c r="F345" s="116">
        <f t="shared" si="34"/>
        <v>164560.36499999999</v>
      </c>
      <c r="G345" s="56">
        <f t="shared" si="36"/>
        <v>147213.23000000001</v>
      </c>
      <c r="H345" s="50" t="s">
        <v>308</v>
      </c>
      <c r="I345" s="87" t="s">
        <v>523</v>
      </c>
      <c r="J345" s="114">
        <v>164560.36499999999</v>
      </c>
      <c r="K345" s="39"/>
      <c r="M345" s="300"/>
      <c r="N345" s="301"/>
      <c r="O345" s="301"/>
      <c r="P345" s="39"/>
      <c r="R345" s="39"/>
      <c r="S345" s="39"/>
      <c r="T345" s="39"/>
      <c r="U345" s="39"/>
      <c r="V345" s="39"/>
      <c r="W345" s="39"/>
      <c r="X345" s="39"/>
      <c r="Y345" s="39"/>
      <c r="Z345" s="39"/>
      <c r="AA345" s="223"/>
    </row>
    <row r="346" spans="1:27" ht="14.25" customHeight="1" x14ac:dyDescent="0.25">
      <c r="A346" s="51">
        <f t="shared" si="35"/>
        <v>343</v>
      </c>
      <c r="B346" s="52"/>
      <c r="C346" s="53" t="str">
        <f t="shared" si="37"/>
        <v>4DENELBLUE</v>
      </c>
      <c r="D346" s="53"/>
      <c r="E346" s="54">
        <f>+'CALCULO TARIFAS CC '!$Q$45</f>
        <v>0.89458498473189119</v>
      </c>
      <c r="F346" s="116">
        <f t="shared" si="34"/>
        <v>2700.9259999999999</v>
      </c>
      <c r="G346" s="56">
        <f t="shared" si="36"/>
        <v>2416.21</v>
      </c>
      <c r="H346" s="50" t="s">
        <v>308</v>
      </c>
      <c r="I346" s="87" t="s">
        <v>524</v>
      </c>
      <c r="J346" s="114">
        <v>2700.9259999999999</v>
      </c>
      <c r="K346" s="39"/>
      <c r="M346" s="300"/>
      <c r="N346" s="301"/>
      <c r="O346" s="301"/>
      <c r="P346" s="39"/>
      <c r="R346" s="39"/>
      <c r="S346" s="39"/>
      <c r="T346" s="39"/>
      <c r="U346" s="39"/>
      <c r="V346" s="39"/>
      <c r="W346" s="39"/>
      <c r="X346" s="39"/>
      <c r="Y346" s="39"/>
      <c r="Z346" s="39"/>
      <c r="AA346" s="223"/>
    </row>
    <row r="347" spans="1:27" ht="14.25" customHeight="1" x14ac:dyDescent="0.25">
      <c r="A347" s="51">
        <f t="shared" si="35"/>
        <v>344</v>
      </c>
      <c r="B347" s="52"/>
      <c r="C347" s="53" t="str">
        <f t="shared" si="37"/>
        <v>4DENELMULU</v>
      </c>
      <c r="D347" s="53"/>
      <c r="E347" s="54">
        <f>+'CALCULO TARIFAS CC '!$Q$45</f>
        <v>0.89458498473189119</v>
      </c>
      <c r="F347" s="116">
        <f t="shared" si="34"/>
        <v>1001.756</v>
      </c>
      <c r="G347" s="56">
        <f t="shared" si="36"/>
        <v>896.16</v>
      </c>
      <c r="H347" s="50" t="s">
        <v>308</v>
      </c>
      <c r="I347" s="87" t="s">
        <v>525</v>
      </c>
      <c r="J347" s="120">
        <v>1001.756</v>
      </c>
      <c r="K347" s="39"/>
      <c r="M347" s="300"/>
      <c r="N347" s="301"/>
      <c r="O347" s="301"/>
      <c r="P347" s="39"/>
      <c r="R347" s="39"/>
      <c r="S347" s="39"/>
      <c r="T347" s="39"/>
      <c r="U347" s="39"/>
      <c r="V347" s="39"/>
      <c r="W347" s="39"/>
      <c r="X347" s="39"/>
      <c r="Y347" s="39"/>
      <c r="Z347" s="39"/>
      <c r="AA347" s="223"/>
    </row>
    <row r="348" spans="1:27" ht="14.25" customHeight="1" x14ac:dyDescent="0.25">
      <c r="A348" s="51">
        <f t="shared" si="35"/>
        <v>345</v>
      </c>
      <c r="B348" s="52"/>
      <c r="C348" s="53" t="str">
        <f t="shared" si="37"/>
        <v>4DENELSIUN</v>
      </c>
      <c r="D348" s="53"/>
      <c r="E348" s="54">
        <f>+'CALCULO TARIFAS CC '!$Q$45</f>
        <v>0.89458498473189119</v>
      </c>
      <c r="F348" s="116">
        <f t="shared" si="34"/>
        <v>3104.6559999999999</v>
      </c>
      <c r="G348" s="56">
        <f t="shared" si="36"/>
        <v>2777.38</v>
      </c>
      <c r="H348" s="50" t="s">
        <v>308</v>
      </c>
      <c r="I348" s="87" t="s">
        <v>526</v>
      </c>
      <c r="J348" s="114">
        <v>3104.6559999999999</v>
      </c>
      <c r="K348" s="39"/>
      <c r="M348" s="300"/>
      <c r="N348" s="301"/>
      <c r="O348" s="301"/>
      <c r="P348" s="39"/>
      <c r="R348" s="39"/>
      <c r="S348" s="39"/>
      <c r="T348" s="39"/>
      <c r="U348" s="39"/>
      <c r="V348" s="39"/>
      <c r="W348" s="39"/>
      <c r="X348" s="39"/>
      <c r="Y348" s="39"/>
      <c r="Z348" s="39"/>
      <c r="AA348" s="223"/>
    </row>
    <row r="349" spans="1:27" ht="14.25" customHeight="1" x14ac:dyDescent="0.25">
      <c r="A349" s="51">
        <f t="shared" si="35"/>
        <v>346</v>
      </c>
      <c r="B349" s="52"/>
      <c r="C349" s="53" t="str">
        <f t="shared" si="37"/>
        <v>4GALBAGEN</v>
      </c>
      <c r="D349" s="53"/>
      <c r="E349" s="54">
        <f>+'CALCULO TARIFAS CC '!$Q$45</f>
        <v>0.89458498473189119</v>
      </c>
      <c r="F349" s="116">
        <f t="shared" si="34"/>
        <v>0</v>
      </c>
      <c r="G349" s="56">
        <f t="shared" si="36"/>
        <v>0</v>
      </c>
      <c r="H349" s="50" t="s">
        <v>308</v>
      </c>
      <c r="I349" s="87" t="s">
        <v>527</v>
      </c>
      <c r="J349" s="114">
        <v>0</v>
      </c>
      <c r="K349" s="39"/>
      <c r="M349" s="300"/>
      <c r="N349" s="301"/>
      <c r="O349" s="301"/>
      <c r="P349" s="39"/>
      <c r="R349" s="39"/>
      <c r="S349" s="39"/>
      <c r="T349" s="39"/>
      <c r="U349" s="39"/>
      <c r="V349" s="39"/>
      <c r="W349" s="39"/>
      <c r="X349" s="39"/>
      <c r="Y349" s="39"/>
      <c r="Z349" s="39"/>
      <c r="AA349" s="223"/>
    </row>
    <row r="350" spans="1:27" ht="14.25" customHeight="1" x14ac:dyDescent="0.25">
      <c r="A350" s="51">
        <f t="shared" si="35"/>
        <v>347</v>
      </c>
      <c r="B350" s="52"/>
      <c r="C350" s="53" t="str">
        <f t="shared" si="37"/>
        <v>4GALBANISA</v>
      </c>
      <c r="D350" s="53"/>
      <c r="E350" s="54">
        <f>+'CALCULO TARIFAS CC '!$Q$45</f>
        <v>0.89458498473189119</v>
      </c>
      <c r="F350" s="116">
        <f t="shared" si="34"/>
        <v>630.46299999999997</v>
      </c>
      <c r="G350" s="56">
        <f t="shared" si="36"/>
        <v>564</v>
      </c>
      <c r="H350" s="50" t="s">
        <v>308</v>
      </c>
      <c r="I350" s="87" t="s">
        <v>528</v>
      </c>
      <c r="J350" s="114">
        <v>630.46299999999997</v>
      </c>
      <c r="K350" s="39"/>
      <c r="M350" s="300"/>
      <c r="N350" s="301"/>
      <c r="O350" s="301"/>
      <c r="P350" s="39"/>
      <c r="R350" s="39"/>
      <c r="S350" s="39"/>
      <c r="T350" s="39"/>
      <c r="U350" s="39"/>
      <c r="V350" s="39"/>
      <c r="W350" s="39"/>
      <c r="X350" s="39"/>
      <c r="Y350" s="39"/>
      <c r="Z350" s="39"/>
      <c r="AA350" s="223"/>
    </row>
    <row r="351" spans="1:27" ht="14.25" customHeight="1" x14ac:dyDescent="0.25">
      <c r="A351" s="51">
        <f t="shared" si="35"/>
        <v>348</v>
      </c>
      <c r="B351" s="52"/>
      <c r="C351" s="53" t="str">
        <f t="shared" si="37"/>
        <v>4GAMAYO1</v>
      </c>
      <c r="D351" s="53"/>
      <c r="E351" s="54">
        <f>+'CALCULO TARIFAS CC '!$Q$45</f>
        <v>0.89458498473189119</v>
      </c>
      <c r="F351" s="116">
        <f t="shared" si="34"/>
        <v>4.84</v>
      </c>
      <c r="G351" s="56">
        <f t="shared" si="36"/>
        <v>4.33</v>
      </c>
      <c r="H351" s="50" t="s">
        <v>308</v>
      </c>
      <c r="I351" s="87" t="s">
        <v>529</v>
      </c>
      <c r="J351" s="114">
        <v>4.84</v>
      </c>
      <c r="K351" s="39"/>
      <c r="M351" s="300"/>
      <c r="N351" s="301"/>
      <c r="O351" s="301"/>
      <c r="P351" s="39"/>
      <c r="R351" s="39"/>
      <c r="S351" s="39"/>
      <c r="T351" s="39"/>
      <c r="U351" s="39"/>
      <c r="V351" s="39"/>
      <c r="W351" s="39"/>
      <c r="X351" s="39"/>
      <c r="Y351" s="39"/>
      <c r="Z351" s="39"/>
      <c r="AA351" s="223"/>
    </row>
    <row r="352" spans="1:27" ht="14.25" customHeight="1" x14ac:dyDescent="0.25">
      <c r="A352" s="51">
        <f t="shared" si="35"/>
        <v>349</v>
      </c>
      <c r="B352" s="52"/>
      <c r="C352" s="53" t="str">
        <f t="shared" si="37"/>
        <v>4GAMAYO2</v>
      </c>
      <c r="D352" s="53"/>
      <c r="E352" s="54">
        <f>+'CALCULO TARIFAS CC '!$Q$45</f>
        <v>0.89458498473189119</v>
      </c>
      <c r="F352" s="116">
        <f t="shared" si="34"/>
        <v>3.6709999999999998</v>
      </c>
      <c r="G352" s="56">
        <f t="shared" si="36"/>
        <v>3.28</v>
      </c>
      <c r="H352" s="50" t="s">
        <v>308</v>
      </c>
      <c r="I352" s="87" t="s">
        <v>530</v>
      </c>
      <c r="J352" s="114">
        <v>3.6709999999999998</v>
      </c>
      <c r="K352" s="39"/>
      <c r="M352" s="300"/>
      <c r="N352" s="301"/>
      <c r="O352" s="301"/>
      <c r="P352" s="39"/>
      <c r="R352" s="39"/>
      <c r="S352" s="39"/>
      <c r="T352" s="39"/>
      <c r="U352" s="39"/>
      <c r="V352" s="39"/>
      <c r="W352" s="39"/>
      <c r="X352" s="39"/>
      <c r="Y352" s="39"/>
      <c r="Z352" s="39"/>
      <c r="AA352" s="223"/>
    </row>
    <row r="353" spans="1:27" ht="14.25" customHeight="1" x14ac:dyDescent="0.25">
      <c r="A353" s="51">
        <f t="shared" si="35"/>
        <v>350</v>
      </c>
      <c r="B353" s="52"/>
      <c r="C353" s="53" t="str">
        <f t="shared" si="37"/>
        <v>4GBPOWER</v>
      </c>
      <c r="D353" s="53"/>
      <c r="E353" s="54">
        <f>+'CALCULO TARIFAS CC '!$Q$45</f>
        <v>0.89458498473189119</v>
      </c>
      <c r="F353" s="116">
        <f t="shared" si="34"/>
        <v>3.8809999999999998</v>
      </c>
      <c r="G353" s="56">
        <f t="shared" si="36"/>
        <v>3.47</v>
      </c>
      <c r="H353" s="50" t="s">
        <v>308</v>
      </c>
      <c r="I353" s="87" t="s">
        <v>531</v>
      </c>
      <c r="J353" s="114">
        <v>3.8809999999999998</v>
      </c>
      <c r="K353" s="39"/>
      <c r="M353" s="300"/>
      <c r="N353" s="301"/>
      <c r="O353" s="301"/>
      <c r="P353" s="39"/>
      <c r="R353" s="39"/>
      <c r="S353" s="39"/>
      <c r="T353" s="39"/>
      <c r="U353" s="39"/>
      <c r="V353" s="39"/>
      <c r="W353" s="39"/>
      <c r="X353" s="39"/>
      <c r="Y353" s="39"/>
      <c r="Z353" s="39"/>
      <c r="AA353" s="223"/>
    </row>
    <row r="354" spans="1:27" ht="14.25" customHeight="1" x14ac:dyDescent="0.25">
      <c r="A354" s="51">
        <f t="shared" si="35"/>
        <v>351</v>
      </c>
      <c r="B354" s="52"/>
      <c r="C354" s="53" t="str">
        <f t="shared" si="37"/>
        <v>4GEEC-20</v>
      </c>
      <c r="D354" s="53"/>
      <c r="E354" s="54">
        <f>+'CALCULO TARIFAS CC '!$Q$45</f>
        <v>0.89458498473189119</v>
      </c>
      <c r="F354" s="116">
        <f t="shared" si="34"/>
        <v>0</v>
      </c>
      <c r="G354" s="56">
        <f t="shared" si="36"/>
        <v>0</v>
      </c>
      <c r="H354" s="50" t="s">
        <v>308</v>
      </c>
      <c r="I354" s="87" t="s">
        <v>532</v>
      </c>
      <c r="J354" s="114">
        <v>0</v>
      </c>
      <c r="K354" s="39"/>
      <c r="M354" s="300"/>
      <c r="N354" s="301"/>
      <c r="O354" s="301"/>
      <c r="P354" s="39"/>
      <c r="R354" s="39"/>
      <c r="S354" s="39"/>
      <c r="T354" s="39"/>
      <c r="U354" s="39"/>
      <c r="V354" s="39"/>
      <c r="W354" s="39"/>
      <c r="X354" s="39"/>
      <c r="Y354" s="39"/>
      <c r="Z354" s="39"/>
      <c r="AA354" s="223"/>
    </row>
    <row r="355" spans="1:27" ht="14.25" customHeight="1" x14ac:dyDescent="0.25">
      <c r="A355" s="51">
        <f t="shared" si="35"/>
        <v>352</v>
      </c>
      <c r="B355" s="52"/>
      <c r="C355" s="53" t="str">
        <f t="shared" si="37"/>
        <v>4GEGR</v>
      </c>
      <c r="D355" s="53"/>
      <c r="E355" s="54">
        <f>+'CALCULO TARIFAS CC '!$Q$45</f>
        <v>0.89458498473189119</v>
      </c>
      <c r="F355" s="116">
        <f t="shared" si="34"/>
        <v>223.923</v>
      </c>
      <c r="G355" s="56">
        <f t="shared" si="36"/>
        <v>200.32</v>
      </c>
      <c r="H355" s="50" t="s">
        <v>308</v>
      </c>
      <c r="I355" s="87" t="s">
        <v>533</v>
      </c>
      <c r="J355" s="114">
        <v>223.923</v>
      </c>
      <c r="K355" s="39"/>
      <c r="M355" s="300"/>
      <c r="N355" s="301"/>
      <c r="O355" s="301"/>
      <c r="P355" s="39"/>
      <c r="R355" s="39"/>
      <c r="S355" s="39"/>
      <c r="T355" s="39"/>
      <c r="U355" s="39"/>
      <c r="V355" s="39"/>
      <c r="W355" s="39"/>
      <c r="X355" s="39"/>
      <c r="Y355" s="39"/>
      <c r="Z355" s="39"/>
      <c r="AA355" s="223"/>
    </row>
    <row r="356" spans="1:27" ht="14.25" customHeight="1" x14ac:dyDescent="0.25">
      <c r="A356" s="51">
        <f t="shared" si="35"/>
        <v>353</v>
      </c>
      <c r="B356" s="52"/>
      <c r="C356" s="53" t="str">
        <f t="shared" si="37"/>
        <v>4GENELCACF</v>
      </c>
      <c r="D356" s="53"/>
      <c r="E356" s="54">
        <f>+'CALCULO TARIFAS CC '!$Q$45</f>
        <v>0.89458498473189119</v>
      </c>
      <c r="F356" s="116">
        <f t="shared" si="34"/>
        <v>48.825000000000003</v>
      </c>
      <c r="G356" s="56">
        <f t="shared" si="36"/>
        <v>43.68</v>
      </c>
      <c r="H356" s="50" t="s">
        <v>308</v>
      </c>
      <c r="I356" s="87" t="s">
        <v>534</v>
      </c>
      <c r="J356" s="114">
        <v>48.825000000000003</v>
      </c>
      <c r="K356" s="39"/>
      <c r="M356" s="300"/>
      <c r="N356" s="301"/>
      <c r="O356" s="301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223"/>
    </row>
    <row r="357" spans="1:27" ht="14.25" customHeight="1" x14ac:dyDescent="0.25">
      <c r="A357" s="51">
        <f t="shared" si="35"/>
        <v>354</v>
      </c>
      <c r="B357" s="52"/>
      <c r="C357" s="53" t="str">
        <f t="shared" si="37"/>
        <v>4GENELLBMG</v>
      </c>
      <c r="D357" s="53"/>
      <c r="E357" s="54">
        <f>+'CALCULO TARIFAS CC '!$Q$45</f>
        <v>0.89458498473189119</v>
      </c>
      <c r="F357" s="116">
        <f t="shared" si="34"/>
        <v>85.456999999999994</v>
      </c>
      <c r="G357" s="56">
        <f t="shared" si="36"/>
        <v>76.45</v>
      </c>
      <c r="H357" s="50" t="s">
        <v>308</v>
      </c>
      <c r="I357" s="87" t="s">
        <v>535</v>
      </c>
      <c r="J357" s="114">
        <v>85.456999999999994</v>
      </c>
      <c r="K357" s="39"/>
      <c r="M357" s="300"/>
      <c r="N357" s="301"/>
      <c r="O357" s="301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223"/>
    </row>
    <row r="358" spans="1:27" ht="14.25" customHeight="1" x14ac:dyDescent="0.25">
      <c r="A358" s="51">
        <f t="shared" si="35"/>
        <v>355</v>
      </c>
      <c r="B358" s="52"/>
      <c r="C358" s="53" t="str">
        <f t="shared" si="37"/>
        <v>4GENELPHL</v>
      </c>
      <c r="D358" s="53"/>
      <c r="E358" s="54">
        <f>+'CALCULO TARIFAS CC '!$Q$45</f>
        <v>0.89458498473189119</v>
      </c>
      <c r="F358" s="116">
        <f t="shared" si="34"/>
        <v>35.659999999999997</v>
      </c>
      <c r="G358" s="56">
        <f t="shared" si="36"/>
        <v>31.9</v>
      </c>
      <c r="H358" s="50" t="s">
        <v>308</v>
      </c>
      <c r="I358" s="87" t="s">
        <v>536</v>
      </c>
      <c r="J358" s="114">
        <v>35.659999999999997</v>
      </c>
      <c r="K358" s="39"/>
      <c r="M358" s="300"/>
      <c r="N358" s="301"/>
      <c r="O358" s="301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223"/>
    </row>
    <row r="359" spans="1:27" ht="14.25" customHeight="1" x14ac:dyDescent="0.25">
      <c r="A359" s="51">
        <f t="shared" si="35"/>
        <v>356</v>
      </c>
      <c r="B359" s="52"/>
      <c r="C359" s="53" t="str">
        <f t="shared" si="37"/>
        <v>4GEOLO</v>
      </c>
      <c r="D359" s="53"/>
      <c r="E359" s="54">
        <f>+'CALCULO TARIFAS CC '!$Q$45</f>
        <v>0.89458498473189119</v>
      </c>
      <c r="F359" s="116">
        <f t="shared" si="34"/>
        <v>4.2389999999999999</v>
      </c>
      <c r="G359" s="56">
        <f t="shared" si="36"/>
        <v>3.79</v>
      </c>
      <c r="H359" s="50" t="s">
        <v>308</v>
      </c>
      <c r="I359" s="87" t="s">
        <v>537</v>
      </c>
      <c r="J359" s="114">
        <v>4.2389999999999999</v>
      </c>
      <c r="K359" s="39"/>
      <c r="M359" s="300"/>
      <c r="N359" s="301"/>
      <c r="O359" s="301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223"/>
    </row>
    <row r="360" spans="1:27" ht="14.25" customHeight="1" x14ac:dyDescent="0.25">
      <c r="A360" s="51">
        <f t="shared" si="35"/>
        <v>357</v>
      </c>
      <c r="B360" s="52"/>
      <c r="C360" s="53" t="str">
        <f t="shared" si="37"/>
        <v>4GGEOSA</v>
      </c>
      <c r="D360" s="53"/>
      <c r="E360" s="54">
        <f>+'CALCULO TARIFAS CC '!$Q$45</f>
        <v>0.89458498473189119</v>
      </c>
      <c r="F360" s="116">
        <f t="shared" si="34"/>
        <v>229.02</v>
      </c>
      <c r="G360" s="56">
        <f t="shared" si="36"/>
        <v>204.88</v>
      </c>
      <c r="H360" s="50" t="s">
        <v>308</v>
      </c>
      <c r="I360" s="87" t="s">
        <v>538</v>
      </c>
      <c r="J360" s="114">
        <v>229.02</v>
      </c>
      <c r="K360" s="39"/>
      <c r="M360" s="300"/>
      <c r="N360" s="301"/>
      <c r="O360" s="301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223"/>
    </row>
    <row r="361" spans="1:27" ht="14.25" customHeight="1" x14ac:dyDescent="0.25">
      <c r="A361" s="51">
        <f t="shared" si="35"/>
        <v>358</v>
      </c>
      <c r="B361" s="52"/>
      <c r="C361" s="53" t="str">
        <f t="shared" si="37"/>
        <v>4GGESARSA</v>
      </c>
      <c r="D361" s="53"/>
      <c r="E361" s="54">
        <f>+'CALCULO TARIFAS CC '!$Q$45</f>
        <v>0.89458498473189119</v>
      </c>
      <c r="F361" s="116">
        <f t="shared" si="34"/>
        <v>3.0049999999999999</v>
      </c>
      <c r="G361" s="56">
        <f t="shared" si="36"/>
        <v>2.69</v>
      </c>
      <c r="H361" s="50" t="s">
        <v>308</v>
      </c>
      <c r="I361" s="87" t="s">
        <v>539</v>
      </c>
      <c r="J361" s="114">
        <v>3.0049999999999999</v>
      </c>
      <c r="K361" s="39"/>
      <c r="M361" s="300"/>
      <c r="N361" s="301"/>
      <c r="O361" s="301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223"/>
    </row>
    <row r="362" spans="1:27" ht="14.25" customHeight="1" x14ac:dyDescent="0.25">
      <c r="A362" s="51">
        <f t="shared" si="35"/>
        <v>359</v>
      </c>
      <c r="B362" s="52"/>
      <c r="C362" s="53" t="str">
        <f t="shared" si="37"/>
        <v>4GHEMCO</v>
      </c>
      <c r="D362" s="53"/>
      <c r="E362" s="54">
        <f>+'CALCULO TARIFAS CC '!$Q$45</f>
        <v>0.89458498473189119</v>
      </c>
      <c r="F362" s="116">
        <f t="shared" si="34"/>
        <v>838.79700000000003</v>
      </c>
      <c r="G362" s="56">
        <f t="shared" si="36"/>
        <v>750.38</v>
      </c>
      <c r="H362" s="50" t="s">
        <v>308</v>
      </c>
      <c r="I362" s="87" t="s">
        <v>540</v>
      </c>
      <c r="J362" s="114">
        <v>838.79700000000003</v>
      </c>
      <c r="K362" s="39"/>
      <c r="L362" s="299"/>
      <c r="M362" s="300"/>
      <c r="N362" s="301"/>
      <c r="O362" s="301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223"/>
    </row>
    <row r="363" spans="1:27" ht="14.25" customHeight="1" x14ac:dyDescent="0.25">
      <c r="A363" s="51">
        <f t="shared" si="35"/>
        <v>360</v>
      </c>
      <c r="B363" s="52"/>
      <c r="C363" s="53" t="str">
        <f t="shared" si="37"/>
        <v>4GHPA</v>
      </c>
      <c r="D363" s="53"/>
      <c r="E363" s="54">
        <f>+'CALCULO TARIFAS CC '!$Q$45</f>
        <v>0.89458498473189119</v>
      </c>
      <c r="F363" s="116">
        <f t="shared" si="34"/>
        <v>6.54</v>
      </c>
      <c r="G363" s="56">
        <f t="shared" si="36"/>
        <v>5.85</v>
      </c>
      <c r="H363" s="50" t="s">
        <v>308</v>
      </c>
      <c r="I363" s="87" t="s">
        <v>131</v>
      </c>
      <c r="J363" s="114">
        <v>6.54</v>
      </c>
      <c r="K363" s="39"/>
      <c r="L363" s="299"/>
      <c r="M363" s="300"/>
      <c r="N363" s="301"/>
      <c r="O363" s="301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223"/>
    </row>
    <row r="364" spans="1:27" ht="14.25" customHeight="1" x14ac:dyDescent="0.25">
      <c r="A364" s="51">
        <f t="shared" si="35"/>
        <v>361</v>
      </c>
      <c r="B364" s="52"/>
      <c r="C364" s="53" t="str">
        <f t="shared" si="37"/>
        <v>4GIHSA</v>
      </c>
      <c r="D364" s="53"/>
      <c r="E364" s="54">
        <f>+'CALCULO TARIFAS CC '!$Q$45</f>
        <v>0.89458498473189119</v>
      </c>
      <c r="F364" s="116">
        <f t="shared" si="34"/>
        <v>8.9999999999999993E-3</v>
      </c>
      <c r="G364" s="56">
        <f t="shared" si="36"/>
        <v>0.01</v>
      </c>
      <c r="H364" s="50" t="s">
        <v>308</v>
      </c>
      <c r="I364" s="87" t="s">
        <v>541</v>
      </c>
      <c r="J364" s="114">
        <v>8.9999999999999993E-3</v>
      </c>
      <c r="K364" s="39"/>
      <c r="L364" s="299"/>
      <c r="M364" s="300"/>
      <c r="N364" s="301"/>
      <c r="O364" s="301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223"/>
    </row>
    <row r="365" spans="1:27" ht="14.25" customHeight="1" x14ac:dyDescent="0.25">
      <c r="A365" s="51">
        <f t="shared" si="35"/>
        <v>362</v>
      </c>
      <c r="B365" s="52"/>
      <c r="C365" s="53" t="str">
        <f t="shared" si="37"/>
        <v>4GMONTEROS</v>
      </c>
      <c r="D365" s="53"/>
      <c r="E365" s="54">
        <f>+'CALCULO TARIFAS CC '!$Q$45</f>
        <v>0.89458498473189119</v>
      </c>
      <c r="F365" s="116">
        <f t="shared" si="34"/>
        <v>46.329000000000001</v>
      </c>
      <c r="G365" s="56">
        <f t="shared" si="36"/>
        <v>41.45</v>
      </c>
      <c r="H365" s="50" t="s">
        <v>308</v>
      </c>
      <c r="I365" s="87" t="s">
        <v>542</v>
      </c>
      <c r="J365" s="114">
        <v>46.329000000000001</v>
      </c>
      <c r="K365" s="39"/>
      <c r="L365" s="299"/>
      <c r="M365" s="300"/>
      <c r="N365" s="301"/>
      <c r="O365" s="301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223"/>
    </row>
    <row r="366" spans="1:27" ht="14.25" customHeight="1" x14ac:dyDescent="0.25">
      <c r="A366" s="51">
        <f t="shared" si="35"/>
        <v>363</v>
      </c>
      <c r="B366" s="52"/>
      <c r="C366" s="53" t="str">
        <f t="shared" si="37"/>
        <v>4GMTL</v>
      </c>
      <c r="D366" s="53"/>
      <c r="E366" s="54">
        <f>+'CALCULO TARIFAS CC '!$Q$45</f>
        <v>0.89458498473189119</v>
      </c>
      <c r="F366" s="116">
        <f t="shared" si="34"/>
        <v>115.23</v>
      </c>
      <c r="G366" s="56">
        <f t="shared" si="36"/>
        <v>103.08</v>
      </c>
      <c r="H366" s="50" t="s">
        <v>308</v>
      </c>
      <c r="I366" s="87" t="s">
        <v>543</v>
      </c>
      <c r="J366" s="114">
        <v>115.23</v>
      </c>
      <c r="K366" s="39"/>
      <c r="L366" s="299"/>
      <c r="M366" s="300"/>
      <c r="N366" s="301"/>
      <c r="O366" s="301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223"/>
    </row>
    <row r="367" spans="1:27" ht="14.25" customHeight="1" x14ac:dyDescent="0.25">
      <c r="A367" s="51">
        <f t="shared" si="35"/>
        <v>364</v>
      </c>
      <c r="B367" s="52"/>
      <c r="C367" s="53" t="str">
        <f t="shared" si="37"/>
        <v>4GPENSA</v>
      </c>
      <c r="D367" s="53"/>
      <c r="E367" s="54">
        <f>+'CALCULO TARIFAS CC '!$Q$45</f>
        <v>0.89458498473189119</v>
      </c>
      <c r="F367" s="116">
        <f t="shared" si="34"/>
        <v>0</v>
      </c>
      <c r="G367" s="56">
        <f t="shared" si="36"/>
        <v>0</v>
      </c>
      <c r="H367" s="50" t="s">
        <v>308</v>
      </c>
      <c r="I367" s="87" t="s">
        <v>544</v>
      </c>
      <c r="J367" s="114">
        <v>0</v>
      </c>
      <c r="K367" s="39"/>
      <c r="L367" s="299"/>
      <c r="M367" s="300"/>
      <c r="N367" s="301"/>
      <c r="O367" s="301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223"/>
    </row>
    <row r="368" spans="1:27" ht="14.25" customHeight="1" x14ac:dyDescent="0.25">
      <c r="A368" s="51">
        <f t="shared" si="35"/>
        <v>365</v>
      </c>
      <c r="B368" s="52"/>
      <c r="C368" s="53" t="str">
        <f t="shared" si="37"/>
        <v>4GSOLARIS</v>
      </c>
      <c r="D368" s="53"/>
      <c r="E368" s="54">
        <f>+'CALCULO TARIFAS CC '!$Q$45</f>
        <v>0.89458498473189119</v>
      </c>
      <c r="F368" s="116">
        <f t="shared" si="34"/>
        <v>8.2189999999999994</v>
      </c>
      <c r="G368" s="56">
        <f t="shared" si="36"/>
        <v>7.35</v>
      </c>
      <c r="H368" s="50" t="s">
        <v>308</v>
      </c>
      <c r="I368" s="87" t="s">
        <v>545</v>
      </c>
      <c r="J368" s="114">
        <v>8.2189999999999994</v>
      </c>
      <c r="K368" s="39"/>
      <c r="L368" s="299"/>
      <c r="M368" s="300"/>
      <c r="N368" s="301"/>
      <c r="O368" s="301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223"/>
    </row>
    <row r="369" spans="1:27" ht="14.25" customHeight="1" x14ac:dyDescent="0.25">
      <c r="A369" s="51">
        <f t="shared" si="35"/>
        <v>366</v>
      </c>
      <c r="B369" s="52"/>
      <c r="C369" s="53" t="str">
        <f t="shared" si="37"/>
        <v>4TENATREL</v>
      </c>
      <c r="D369" s="53"/>
      <c r="E369" s="54">
        <f>+'CALCULO TARIFAS CC '!$Q$45</f>
        <v>0.89458498473189119</v>
      </c>
      <c r="F369" s="116">
        <f t="shared" si="34"/>
        <v>0</v>
      </c>
      <c r="G369" s="56">
        <f t="shared" si="36"/>
        <v>0</v>
      </c>
      <c r="H369" s="50" t="s">
        <v>308</v>
      </c>
      <c r="I369" s="87" t="s">
        <v>546</v>
      </c>
      <c r="J369" s="114">
        <v>0</v>
      </c>
      <c r="K369" s="39"/>
      <c r="L369" s="299"/>
      <c r="M369" s="300"/>
      <c r="N369" s="301"/>
      <c r="O369" s="301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223"/>
    </row>
    <row r="370" spans="1:27" ht="14.25" customHeight="1" x14ac:dyDescent="0.25">
      <c r="A370" s="51">
        <f t="shared" si="35"/>
        <v>367</v>
      </c>
      <c r="B370" s="52"/>
      <c r="C370" s="53" t="str">
        <f t="shared" si="37"/>
        <v>4TEPRNIC</v>
      </c>
      <c r="D370" s="53"/>
      <c r="E370" s="54">
        <f>+'CALCULO TARIFAS CC '!$Q$45</f>
        <v>0.89458498473189119</v>
      </c>
      <c r="F370" s="116">
        <f t="shared" si="34"/>
        <v>0</v>
      </c>
      <c r="G370" s="56">
        <f t="shared" si="36"/>
        <v>0</v>
      </c>
      <c r="H370" s="50" t="s">
        <v>308</v>
      </c>
      <c r="I370" s="87" t="s">
        <v>547</v>
      </c>
      <c r="J370" s="114">
        <v>0</v>
      </c>
      <c r="K370" s="39"/>
      <c r="L370" s="299"/>
      <c r="M370" s="300"/>
      <c r="N370" s="301"/>
      <c r="O370" s="301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223"/>
    </row>
    <row r="371" spans="1:27" ht="14.25" customHeight="1" x14ac:dyDescent="0.25">
      <c r="A371" s="51">
        <f t="shared" si="35"/>
        <v>368</v>
      </c>
      <c r="B371" s="52"/>
      <c r="C371" s="53" t="str">
        <f t="shared" si="37"/>
        <v>4UCCN</v>
      </c>
      <c r="D371" s="53"/>
      <c r="E371" s="54">
        <f>+'CALCULO TARIFAS CC '!$Q$45</f>
        <v>0.89458498473189119</v>
      </c>
      <c r="F371" s="116">
        <f t="shared" si="34"/>
        <v>1299.5340000000001</v>
      </c>
      <c r="G371" s="56">
        <f t="shared" si="36"/>
        <v>1162.54</v>
      </c>
      <c r="H371" s="50" t="s">
        <v>308</v>
      </c>
      <c r="I371" s="87" t="s">
        <v>548</v>
      </c>
      <c r="J371" s="114">
        <v>1299.5340000000001</v>
      </c>
      <c r="K371" s="39"/>
      <c r="L371" s="299"/>
      <c r="M371" s="300"/>
      <c r="N371" s="301"/>
      <c r="O371" s="301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223"/>
    </row>
    <row r="372" spans="1:27" ht="14.25" customHeight="1" x14ac:dyDescent="0.25">
      <c r="A372" s="51">
        <f t="shared" si="35"/>
        <v>369</v>
      </c>
      <c r="B372" s="52"/>
      <c r="C372" s="53" t="str">
        <f t="shared" si="37"/>
        <v>4UCEMEXN</v>
      </c>
      <c r="D372" s="53"/>
      <c r="E372" s="54">
        <f>+'CALCULO TARIFAS CC '!$Q$45</f>
        <v>0.89458498473189119</v>
      </c>
      <c r="F372" s="116">
        <f t="shared" si="34"/>
        <v>2321.96</v>
      </c>
      <c r="G372" s="56">
        <f t="shared" si="36"/>
        <v>2077.19</v>
      </c>
      <c r="H372" s="50" t="s">
        <v>308</v>
      </c>
      <c r="I372" s="87" t="s">
        <v>549</v>
      </c>
      <c r="J372" s="114">
        <v>2321.96</v>
      </c>
      <c r="K372" s="39"/>
      <c r="L372" s="299"/>
      <c r="M372" s="300"/>
      <c r="N372" s="301"/>
      <c r="O372" s="301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223"/>
    </row>
    <row r="373" spans="1:27" ht="14.25" customHeight="1" x14ac:dyDescent="0.25">
      <c r="A373" s="51">
        <f t="shared" si="35"/>
        <v>370</v>
      </c>
      <c r="B373" s="52"/>
      <c r="C373" s="53" t="str">
        <f t="shared" si="37"/>
        <v>4UCHDN</v>
      </c>
      <c r="D373" s="53"/>
      <c r="E373" s="54">
        <f>+'CALCULO TARIFAS CC '!$Q$45</f>
        <v>0.89458498473189119</v>
      </c>
      <c r="F373" s="116">
        <f t="shared" si="34"/>
        <v>459.4</v>
      </c>
      <c r="G373" s="56">
        <f t="shared" si="36"/>
        <v>410.97</v>
      </c>
      <c r="H373" s="50" t="s">
        <v>308</v>
      </c>
      <c r="I373" s="87" t="s">
        <v>550</v>
      </c>
      <c r="J373" s="114">
        <v>459.4</v>
      </c>
      <c r="K373" s="39"/>
      <c r="L373" s="299"/>
      <c r="M373" s="300"/>
      <c r="N373" s="301"/>
      <c r="O373" s="301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223"/>
    </row>
    <row r="374" spans="1:27" ht="14.25" customHeight="1" x14ac:dyDescent="0.25">
      <c r="A374" s="51">
        <f t="shared" si="35"/>
        <v>371</v>
      </c>
      <c r="B374" s="52"/>
      <c r="C374" s="53" t="str">
        <f t="shared" si="37"/>
        <v>4UDMN</v>
      </c>
      <c r="D374" s="53"/>
      <c r="E374" s="54">
        <f>+'CALCULO TARIFAS CC '!$Q$45</f>
        <v>0.89458498473189119</v>
      </c>
      <c r="F374" s="116">
        <f t="shared" si="34"/>
        <v>5259.1360000000004</v>
      </c>
      <c r="G374" s="56">
        <f t="shared" si="36"/>
        <v>4704.74</v>
      </c>
      <c r="H374" s="50" t="s">
        <v>308</v>
      </c>
      <c r="I374" s="87" t="s">
        <v>551</v>
      </c>
      <c r="J374" s="114">
        <v>5259.1360000000004</v>
      </c>
      <c r="K374" s="39"/>
      <c r="L374" s="299"/>
      <c r="M374" s="300"/>
      <c r="N374" s="301"/>
      <c r="O374" s="301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223"/>
    </row>
    <row r="375" spans="1:27" ht="14.25" customHeight="1" x14ac:dyDescent="0.25">
      <c r="A375" s="51">
        <f t="shared" si="35"/>
        <v>372</v>
      </c>
      <c r="B375" s="52"/>
      <c r="C375" s="53" t="str">
        <f t="shared" si="37"/>
        <v>4UENACAL</v>
      </c>
      <c r="D375" s="53"/>
      <c r="E375" s="54">
        <f>+'CALCULO TARIFAS CC '!$Q$45</f>
        <v>0.89458498473189119</v>
      </c>
      <c r="F375" s="116">
        <f t="shared" si="34"/>
        <v>2826.6179999999999</v>
      </c>
      <c r="G375" s="56">
        <f t="shared" si="36"/>
        <v>2528.65</v>
      </c>
      <c r="H375" s="50" t="s">
        <v>308</v>
      </c>
      <c r="I375" s="87" t="s">
        <v>552</v>
      </c>
      <c r="J375" s="114">
        <v>2826.6179999999999</v>
      </c>
      <c r="K375" s="39"/>
      <c r="L375" s="299"/>
      <c r="M375" s="300"/>
      <c r="N375" s="301"/>
      <c r="O375" s="301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223"/>
    </row>
    <row r="376" spans="1:27" ht="14.25" customHeight="1" x14ac:dyDescent="0.25">
      <c r="A376" s="51">
        <f t="shared" si="35"/>
        <v>373</v>
      </c>
      <c r="B376" s="52"/>
      <c r="C376" s="53" t="str">
        <f t="shared" si="37"/>
        <v>4UENSA</v>
      </c>
      <c r="D376" s="53"/>
      <c r="E376" s="54">
        <f>+'CALCULO TARIFAS CC '!$Q$45</f>
        <v>0.89458498473189119</v>
      </c>
      <c r="F376" s="116">
        <f t="shared" si="34"/>
        <v>710.57600000000002</v>
      </c>
      <c r="G376" s="56">
        <f t="shared" si="36"/>
        <v>635.66999999999996</v>
      </c>
      <c r="H376" s="50" t="s">
        <v>308</v>
      </c>
      <c r="I376" s="87" t="s">
        <v>553</v>
      </c>
      <c r="J376" s="114">
        <v>710.57600000000002</v>
      </c>
      <c r="K376" s="39"/>
      <c r="L376" s="299"/>
      <c r="M376" s="300"/>
      <c r="N376" s="301"/>
      <c r="O376" s="301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223"/>
    </row>
    <row r="377" spans="1:27" s="334" customFormat="1" ht="14.25" customHeight="1" x14ac:dyDescent="0.25">
      <c r="A377" s="51">
        <f t="shared" si="35"/>
        <v>374</v>
      </c>
      <c r="B377" s="52"/>
      <c r="C377" s="53" t="str">
        <f t="shared" si="37"/>
        <v>4UHME</v>
      </c>
      <c r="D377" s="53"/>
      <c r="E377" s="54">
        <f>+'CALCULO TARIFAS CC '!$Q$45</f>
        <v>0.89458498473189119</v>
      </c>
      <c r="F377" s="116">
        <f t="shared" si="34"/>
        <v>968.06399999999996</v>
      </c>
      <c r="G377" s="56">
        <f t="shared" si="36"/>
        <v>866.02</v>
      </c>
      <c r="H377" s="50" t="s">
        <v>308</v>
      </c>
      <c r="I377" s="87" t="s">
        <v>686</v>
      </c>
      <c r="J377" s="114">
        <v>968.06399999999996</v>
      </c>
      <c r="K377" s="39"/>
      <c r="L377" s="299"/>
      <c r="M377" s="300"/>
      <c r="N377" s="301"/>
      <c r="O377" s="301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223"/>
    </row>
    <row r="378" spans="1:27" ht="14.25" customHeight="1" x14ac:dyDescent="0.25">
      <c r="A378" s="51">
        <f t="shared" si="35"/>
        <v>375</v>
      </c>
      <c r="B378" s="52"/>
      <c r="C378" s="53" t="str">
        <f t="shared" si="37"/>
        <v>4UHOLCIM</v>
      </c>
      <c r="D378" s="53"/>
      <c r="E378" s="54">
        <f>+'CALCULO TARIFAS CC '!$Q$45</f>
        <v>0.89458498473189119</v>
      </c>
      <c r="F378" s="116">
        <f t="shared" si="34"/>
        <v>966.822</v>
      </c>
      <c r="G378" s="56">
        <f t="shared" si="36"/>
        <v>864.9</v>
      </c>
      <c r="H378" s="50" t="s">
        <v>308</v>
      </c>
      <c r="I378" s="87" t="s">
        <v>554</v>
      </c>
      <c r="J378" s="114">
        <v>966.822</v>
      </c>
      <c r="K378" s="39"/>
      <c r="L378" s="299"/>
      <c r="M378" s="300"/>
      <c r="N378" s="301"/>
      <c r="O378" s="301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223"/>
    </row>
    <row r="379" spans="1:27" s="219" customFormat="1" ht="14.25" customHeight="1" x14ac:dyDescent="0.25">
      <c r="A379" s="51">
        <f t="shared" si="35"/>
        <v>376</v>
      </c>
      <c r="B379" s="52"/>
      <c r="C379" s="53" t="str">
        <f t="shared" si="37"/>
        <v>4UINDEXN</v>
      </c>
      <c r="D379" s="53"/>
      <c r="E379" s="54">
        <f>+'CALCULO TARIFAS CC '!$Q$45</f>
        <v>0.89458498473189119</v>
      </c>
      <c r="F379" s="116">
        <f t="shared" si="34"/>
        <v>344.69799999999998</v>
      </c>
      <c r="G379" s="56">
        <f t="shared" si="36"/>
        <v>308.36</v>
      </c>
      <c r="H379" s="50" t="s">
        <v>308</v>
      </c>
      <c r="I379" s="87" t="s">
        <v>555</v>
      </c>
      <c r="J379" s="114">
        <v>344.69799999999998</v>
      </c>
      <c r="K379" s="39"/>
      <c r="L379" s="299"/>
      <c r="M379" s="300"/>
      <c r="N379" s="301"/>
      <c r="O379" s="301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223"/>
    </row>
    <row r="380" spans="1:27" ht="14.25" customHeight="1" x14ac:dyDescent="0.25">
      <c r="A380" s="51">
        <f t="shared" si="35"/>
        <v>377</v>
      </c>
      <c r="B380" s="52"/>
      <c r="C380" s="53" t="str">
        <f t="shared" si="37"/>
        <v>4UTRITONMI</v>
      </c>
      <c r="D380" s="53"/>
      <c r="E380" s="54">
        <f>+'CALCULO TARIFAS CC '!$Q$45</f>
        <v>0.89458498473189119</v>
      </c>
      <c r="F380" s="116">
        <f t="shared" si="34"/>
        <v>4794.018</v>
      </c>
      <c r="G380" s="56">
        <f t="shared" si="36"/>
        <v>4288.66</v>
      </c>
      <c r="H380" s="50" t="s">
        <v>308</v>
      </c>
      <c r="I380" s="38" t="s">
        <v>556</v>
      </c>
      <c r="J380" s="149">
        <v>4794.018</v>
      </c>
      <c r="K380" s="39"/>
      <c r="L380" s="299"/>
      <c r="M380" s="300"/>
      <c r="N380" s="301"/>
      <c r="O380" s="301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223"/>
    </row>
    <row r="381" spans="1:27" ht="15.75" thickBot="1" x14ac:dyDescent="0.3">
      <c r="A381" s="51">
        <f t="shared" si="35"/>
        <v>378</v>
      </c>
      <c r="B381" s="141"/>
      <c r="C381" s="53" t="str">
        <f t="shared" si="37"/>
        <v>4UZFLP</v>
      </c>
      <c r="D381" s="142"/>
      <c r="E381" s="146">
        <f>+'CALCULO TARIFAS CC '!$Q$45</f>
        <v>0.89458498473189119</v>
      </c>
      <c r="F381" s="116">
        <f t="shared" si="34"/>
        <v>914.26700000000005</v>
      </c>
      <c r="G381" s="56">
        <f t="shared" si="36"/>
        <v>817.89</v>
      </c>
      <c r="H381" s="50" t="s">
        <v>308</v>
      </c>
      <c r="I381" s="38" t="s">
        <v>557</v>
      </c>
      <c r="J381" s="149">
        <v>914.26700000000005</v>
      </c>
      <c r="K381" s="39"/>
      <c r="L381" s="299"/>
      <c r="M381" s="300"/>
      <c r="N381" s="301"/>
      <c r="O381" s="301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223"/>
    </row>
    <row r="382" spans="1:27" ht="12.75" customHeight="1" thickBot="1" x14ac:dyDescent="0.3">
      <c r="A382" s="101"/>
      <c r="B382" s="102"/>
      <c r="C382" s="103" t="s">
        <v>314</v>
      </c>
      <c r="D382" s="103"/>
      <c r="E382" s="103"/>
      <c r="F382" s="150">
        <f>ROUND(SUM(F344:F381),4)</f>
        <v>367129.74099999998</v>
      </c>
      <c r="G382" s="107">
        <f>SUM(G344:G381)</f>
        <v>328428.75</v>
      </c>
      <c r="H382" s="38"/>
      <c r="K382" s="39"/>
      <c r="L382" s="299"/>
      <c r="M382" s="300"/>
      <c r="N382" s="301"/>
      <c r="O382" s="301"/>
      <c r="P382" s="39"/>
      <c r="Q382" s="39"/>
      <c r="U382" s="39"/>
      <c r="V382" s="39"/>
      <c r="W382" s="39"/>
      <c r="X382" s="39"/>
      <c r="Y382" s="39"/>
      <c r="Z382" s="39"/>
    </row>
    <row r="383" spans="1:27" ht="12.75" customHeight="1" thickBot="1" x14ac:dyDescent="0.3">
      <c r="A383" s="108">
        <f>A381+1</f>
        <v>379</v>
      </c>
      <c r="B383" s="109" t="s">
        <v>12</v>
      </c>
      <c r="C383" s="110" t="str">
        <f t="shared" ref="C383:C425" si="38">I383</f>
        <v>3DENEE</v>
      </c>
      <c r="D383" s="151" t="s">
        <v>325</v>
      </c>
      <c r="E383" s="111">
        <f>+'CALCULO TARIFAS CC '!P45</f>
        <v>0.72690115913440723</v>
      </c>
      <c r="F383" s="105">
        <f t="shared" ref="F383:F425" si="39">ROUND(J383,4)</f>
        <v>807127.36320000002</v>
      </c>
      <c r="G383" s="107">
        <f>+ROUND(F383*E383,2)</f>
        <v>586701.81999999995</v>
      </c>
      <c r="H383" s="50" t="s">
        <v>304</v>
      </c>
      <c r="I383" s="87" t="s">
        <v>149</v>
      </c>
      <c r="J383" s="114">
        <v>807127.36319416994</v>
      </c>
      <c r="K383" s="39"/>
      <c r="L383" s="299"/>
      <c r="M383" s="300"/>
      <c r="N383" s="301"/>
      <c r="O383" s="301"/>
      <c r="P383" s="301"/>
      <c r="Q383" s="39"/>
      <c r="T383" s="39"/>
      <c r="U383" s="39"/>
      <c r="V383" s="39"/>
      <c r="W383" s="39"/>
      <c r="X383" s="39"/>
      <c r="Y383" s="39"/>
      <c r="Z383" s="39"/>
    </row>
    <row r="384" spans="1:27" ht="14.25" customHeight="1" x14ac:dyDescent="0.25">
      <c r="A384" s="44">
        <f t="shared" ref="A384:A425" si="40">+A383+1</f>
        <v>380</v>
      </c>
      <c r="B384" s="45" t="s">
        <v>11</v>
      </c>
      <c r="C384" s="46" t="str">
        <f t="shared" si="38"/>
        <v>2C_C03</v>
      </c>
      <c r="D384" s="46"/>
      <c r="E384" s="47">
        <f>+'CALCULO TARIFAS CC '!$O$45</f>
        <v>2.7365639740417844</v>
      </c>
      <c r="F384" s="112">
        <f t="shared" si="39"/>
        <v>2494.5297999999998</v>
      </c>
      <c r="G384" s="49">
        <f t="shared" ref="G384:G425" si="41">+ROUND(F384*E384,2)</f>
        <v>6826.44</v>
      </c>
      <c r="H384" s="50" t="s">
        <v>301</v>
      </c>
      <c r="I384" s="27" t="s">
        <v>150</v>
      </c>
      <c r="J384" s="27">
        <v>2494.5297869999999</v>
      </c>
      <c r="K384" s="39"/>
      <c r="L384" s="299"/>
      <c r="M384" s="300"/>
      <c r="N384" s="301"/>
      <c r="O384" s="301"/>
      <c r="P384" s="315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</row>
    <row r="385" spans="1:27" ht="14.25" customHeight="1" x14ac:dyDescent="0.25">
      <c r="A385" s="51">
        <f t="shared" si="40"/>
        <v>381</v>
      </c>
      <c r="B385" s="52"/>
      <c r="C385" s="53" t="str">
        <f t="shared" si="38"/>
        <v>2C_C04</v>
      </c>
      <c r="D385" s="53"/>
      <c r="E385" s="54">
        <f>+'CALCULO TARIFAS CC '!$O$45</f>
        <v>2.7365639740417844</v>
      </c>
      <c r="F385" s="116">
        <f t="shared" si="39"/>
        <v>1018.0323</v>
      </c>
      <c r="G385" s="56">
        <f t="shared" si="41"/>
        <v>2785.91</v>
      </c>
      <c r="H385" s="50" t="s">
        <v>301</v>
      </c>
      <c r="I385" s="27" t="s">
        <v>151</v>
      </c>
      <c r="J385" s="27">
        <v>1018.032334</v>
      </c>
      <c r="K385" s="39"/>
      <c r="L385" s="299"/>
      <c r="M385" s="300"/>
      <c r="N385" s="301"/>
      <c r="O385" s="301"/>
      <c r="P385" s="315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</row>
    <row r="386" spans="1:27" ht="14.25" customHeight="1" x14ac:dyDescent="0.25">
      <c r="A386" s="51">
        <f t="shared" si="40"/>
        <v>382</v>
      </c>
      <c r="B386" s="52"/>
      <c r="C386" s="53" t="str">
        <f t="shared" si="38"/>
        <v>2C_C08</v>
      </c>
      <c r="D386" s="53"/>
      <c r="E386" s="54">
        <f>+'CALCULO TARIFAS CC '!$O$45</f>
        <v>2.7365639740417844</v>
      </c>
      <c r="F386" s="116">
        <f t="shared" si="39"/>
        <v>3</v>
      </c>
      <c r="G386" s="56">
        <f t="shared" si="41"/>
        <v>8.2100000000000009</v>
      </c>
      <c r="H386" s="50" t="s">
        <v>301</v>
      </c>
      <c r="I386" s="27" t="s">
        <v>152</v>
      </c>
      <c r="J386" s="27">
        <v>3</v>
      </c>
      <c r="K386" s="39"/>
      <c r="L386" s="299"/>
      <c r="M386" s="300"/>
      <c r="N386" s="301"/>
      <c r="O386" s="301"/>
      <c r="P386" s="315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</row>
    <row r="387" spans="1:27" ht="14.25" customHeight="1" x14ac:dyDescent="0.25">
      <c r="A387" s="51">
        <f t="shared" si="40"/>
        <v>383</v>
      </c>
      <c r="B387" s="52"/>
      <c r="C387" s="53" t="str">
        <f t="shared" si="38"/>
        <v>2C_C13</v>
      </c>
      <c r="D387" s="53"/>
      <c r="E387" s="54">
        <f>+'CALCULO TARIFAS CC '!$O$45</f>
        <v>2.7365639740417844</v>
      </c>
      <c r="F387" s="116">
        <f t="shared" si="39"/>
        <v>0</v>
      </c>
      <c r="G387" s="116">
        <f t="shared" si="41"/>
        <v>0</v>
      </c>
      <c r="H387" s="50" t="s">
        <v>301</v>
      </c>
      <c r="I387" s="27" t="s">
        <v>153</v>
      </c>
      <c r="J387" s="27">
        <v>0</v>
      </c>
      <c r="K387" s="39"/>
      <c r="L387" s="299"/>
      <c r="M387" s="300"/>
      <c r="N387" s="301"/>
      <c r="O387" s="301"/>
      <c r="P387" s="315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</row>
    <row r="388" spans="1:27" ht="14.25" customHeight="1" x14ac:dyDescent="0.25">
      <c r="A388" s="51">
        <f t="shared" si="40"/>
        <v>384</v>
      </c>
      <c r="B388" s="52"/>
      <c r="C388" s="53" t="str">
        <f t="shared" si="38"/>
        <v>2G_C14</v>
      </c>
      <c r="D388" s="53"/>
      <c r="E388" s="54">
        <f>+'CALCULO TARIFAS CC '!$O$45</f>
        <v>2.7365639740417844</v>
      </c>
      <c r="F388" s="116">
        <f t="shared" si="39"/>
        <v>152.33189999999999</v>
      </c>
      <c r="G388" s="56">
        <f t="shared" si="41"/>
        <v>416.87</v>
      </c>
      <c r="H388" s="50" t="s">
        <v>301</v>
      </c>
      <c r="I388" s="27" t="s">
        <v>167</v>
      </c>
      <c r="J388" s="27">
        <v>152.33189999999999</v>
      </c>
      <c r="K388" s="39"/>
      <c r="L388" s="299"/>
      <c r="M388" s="300"/>
      <c r="N388" s="301"/>
      <c r="O388" s="301"/>
      <c r="P388" s="315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</row>
    <row r="389" spans="1:27" ht="14.25" customHeight="1" x14ac:dyDescent="0.25">
      <c r="A389" s="51">
        <f t="shared" si="40"/>
        <v>385</v>
      </c>
      <c r="B389" s="52"/>
      <c r="C389" s="53" t="str">
        <f t="shared" si="38"/>
        <v>2C_C15</v>
      </c>
      <c r="D389" s="53"/>
      <c r="E389" s="54">
        <f>+'CALCULO TARIFAS CC '!$O$45</f>
        <v>2.7365639740417844</v>
      </c>
      <c r="F389" s="116">
        <f t="shared" si="39"/>
        <v>1.65</v>
      </c>
      <c r="G389" s="56">
        <f t="shared" si="41"/>
        <v>4.5199999999999996</v>
      </c>
      <c r="H389" s="50" t="s">
        <v>301</v>
      </c>
      <c r="I389" s="27" t="s">
        <v>154</v>
      </c>
      <c r="J389" s="27">
        <v>1.65</v>
      </c>
      <c r="K389" s="39"/>
      <c r="L389" s="299"/>
      <c r="M389" s="300"/>
      <c r="N389" s="301"/>
      <c r="O389" s="301"/>
      <c r="P389" s="315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</row>
    <row r="390" spans="1:27" ht="14.25" customHeight="1" x14ac:dyDescent="0.25">
      <c r="A390" s="51">
        <f t="shared" si="40"/>
        <v>386</v>
      </c>
      <c r="B390" s="52"/>
      <c r="C390" s="53" t="str">
        <f t="shared" si="38"/>
        <v>2C_C16</v>
      </c>
      <c r="D390" s="53"/>
      <c r="E390" s="54">
        <f>+'CALCULO TARIFAS CC '!$O$45</f>
        <v>2.7365639740417844</v>
      </c>
      <c r="F390" s="116">
        <f t="shared" si="39"/>
        <v>637.08069999999998</v>
      </c>
      <c r="G390" s="56">
        <f t="shared" si="41"/>
        <v>1743.41</v>
      </c>
      <c r="H390" s="50" t="s">
        <v>301</v>
      </c>
      <c r="I390" s="27" t="s">
        <v>155</v>
      </c>
      <c r="J390" s="27">
        <v>637.08071229999996</v>
      </c>
      <c r="K390" s="39"/>
      <c r="L390" s="299"/>
      <c r="M390" s="300"/>
      <c r="N390" s="301"/>
      <c r="O390" s="301"/>
      <c r="P390" s="315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</row>
    <row r="391" spans="1:27" ht="14.25" customHeight="1" x14ac:dyDescent="0.25">
      <c r="A391" s="51">
        <f t="shared" si="40"/>
        <v>387</v>
      </c>
      <c r="B391" s="52"/>
      <c r="C391" s="53" t="str">
        <f t="shared" si="38"/>
        <v>2G_C18</v>
      </c>
      <c r="D391" s="53"/>
      <c r="E391" s="54">
        <f>+'CALCULO TARIFAS CC '!$O$45</f>
        <v>2.7365639740417844</v>
      </c>
      <c r="F391" s="116">
        <f t="shared" si="39"/>
        <v>26.331</v>
      </c>
      <c r="G391" s="56">
        <f t="shared" si="41"/>
        <v>72.06</v>
      </c>
      <c r="H391" s="50" t="s">
        <v>301</v>
      </c>
      <c r="I391" s="27" t="s">
        <v>168</v>
      </c>
      <c r="J391" s="27">
        <v>26.331019000000001</v>
      </c>
      <c r="K391" s="39"/>
      <c r="L391" s="299"/>
      <c r="M391" s="300"/>
      <c r="N391" s="301"/>
      <c r="O391" s="301"/>
      <c r="P391" s="315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</row>
    <row r="392" spans="1:27" ht="14.25" customHeight="1" x14ac:dyDescent="0.25">
      <c r="A392" s="51">
        <f t="shared" si="40"/>
        <v>388</v>
      </c>
      <c r="B392" s="52"/>
      <c r="C392" s="53" t="str">
        <f t="shared" si="38"/>
        <v>2G_C19</v>
      </c>
      <c r="D392" s="53"/>
      <c r="E392" s="54">
        <f>+'CALCULO TARIFAS CC '!$O$45</f>
        <v>2.7365639740417844</v>
      </c>
      <c r="F392" s="116">
        <f t="shared" si="39"/>
        <v>25.8048</v>
      </c>
      <c r="G392" s="56">
        <f t="shared" si="41"/>
        <v>70.62</v>
      </c>
      <c r="H392" s="50" t="s">
        <v>301</v>
      </c>
      <c r="I392" s="27" t="s">
        <v>169</v>
      </c>
      <c r="J392" s="27">
        <v>25.8048</v>
      </c>
      <c r="K392" s="39"/>
      <c r="L392" s="299"/>
      <c r="M392" s="300"/>
      <c r="N392" s="301"/>
      <c r="O392" s="301"/>
      <c r="P392" s="315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</row>
    <row r="393" spans="1:27" ht="14.25" customHeight="1" x14ac:dyDescent="0.25">
      <c r="A393" s="51">
        <f t="shared" si="40"/>
        <v>389</v>
      </c>
      <c r="B393" s="52"/>
      <c r="C393" s="53" t="str">
        <f t="shared" si="38"/>
        <v>2G_C20</v>
      </c>
      <c r="D393" s="53"/>
      <c r="E393" s="54">
        <f>+'CALCULO TARIFAS CC '!$O$45</f>
        <v>2.7365639740417844</v>
      </c>
      <c r="F393" s="116">
        <f t="shared" si="39"/>
        <v>0</v>
      </c>
      <c r="G393" s="56">
        <f t="shared" si="41"/>
        <v>0</v>
      </c>
      <c r="H393" s="50" t="s">
        <v>301</v>
      </c>
      <c r="I393" s="27" t="s">
        <v>170</v>
      </c>
      <c r="J393" s="27">
        <v>0</v>
      </c>
      <c r="K393" s="39"/>
      <c r="L393" s="299"/>
      <c r="M393" s="300"/>
      <c r="N393" s="301"/>
      <c r="O393" s="301"/>
      <c r="P393" s="315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</row>
    <row r="394" spans="1:27" ht="14.25" customHeight="1" x14ac:dyDescent="0.25">
      <c r="A394" s="51">
        <f t="shared" si="40"/>
        <v>390</v>
      </c>
      <c r="B394" s="52"/>
      <c r="C394" s="53" t="str">
        <f t="shared" si="38"/>
        <v>2G_C29</v>
      </c>
      <c r="D394" s="53"/>
      <c r="E394" s="54">
        <f>+'CALCULO TARIFAS CC '!$O$45</f>
        <v>2.7365639740417844</v>
      </c>
      <c r="F394" s="116">
        <f t="shared" si="39"/>
        <v>254.96</v>
      </c>
      <c r="G394" s="56">
        <f t="shared" si="41"/>
        <v>697.71</v>
      </c>
      <c r="H394" s="50" t="s">
        <v>301</v>
      </c>
      <c r="I394" s="27" t="s">
        <v>171</v>
      </c>
      <c r="J394" s="27">
        <v>254.96</v>
      </c>
      <c r="K394" s="39"/>
      <c r="L394" s="299"/>
      <c r="M394" s="300"/>
      <c r="N394" s="301"/>
      <c r="O394" s="301"/>
      <c r="P394" s="315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</row>
    <row r="395" spans="1:27" ht="14.25" customHeight="1" x14ac:dyDescent="0.25">
      <c r="A395" s="51">
        <f t="shared" si="40"/>
        <v>391</v>
      </c>
      <c r="B395" s="52"/>
      <c r="C395" s="53" t="str">
        <f t="shared" si="38"/>
        <v>2C_C39</v>
      </c>
      <c r="D395" s="53"/>
      <c r="E395" s="54">
        <f>+'CALCULO TARIFAS CC '!$O$45</f>
        <v>2.7365639740417844</v>
      </c>
      <c r="F395" s="116">
        <f t="shared" si="39"/>
        <v>3381.6048000000001</v>
      </c>
      <c r="G395" s="56">
        <f t="shared" si="41"/>
        <v>9253.98</v>
      </c>
      <c r="H395" s="50" t="s">
        <v>301</v>
      </c>
      <c r="I395" s="27" t="s">
        <v>156</v>
      </c>
      <c r="J395" s="27">
        <v>3381.6048000000001</v>
      </c>
      <c r="K395" s="39"/>
      <c r="L395" s="299"/>
      <c r="M395" s="300"/>
      <c r="N395" s="301"/>
      <c r="O395" s="301"/>
      <c r="P395" s="315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</row>
    <row r="396" spans="1:27" ht="14.25" customHeight="1" x14ac:dyDescent="0.25">
      <c r="A396" s="51">
        <f t="shared" si="40"/>
        <v>392</v>
      </c>
      <c r="B396" s="52"/>
      <c r="C396" s="53" t="str">
        <f t="shared" si="38"/>
        <v>2C_C40</v>
      </c>
      <c r="D396" s="53"/>
      <c r="E396" s="54">
        <f>+'CALCULO TARIFAS CC '!$O$45</f>
        <v>2.7365639740417844</v>
      </c>
      <c r="F396" s="116">
        <f t="shared" si="39"/>
        <v>469.55900000000003</v>
      </c>
      <c r="G396" s="56">
        <f t="shared" si="41"/>
        <v>1284.98</v>
      </c>
      <c r="H396" s="50" t="s">
        <v>301</v>
      </c>
      <c r="I396" s="27" t="s">
        <v>157</v>
      </c>
      <c r="J396" s="27">
        <v>469.55900000000003</v>
      </c>
      <c r="K396" s="39"/>
      <c r="L396" s="299"/>
      <c r="M396" s="300"/>
      <c r="N396" s="301"/>
      <c r="O396" s="301"/>
      <c r="P396" s="315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</row>
    <row r="397" spans="1:27" x14ac:dyDescent="0.25">
      <c r="A397" s="51">
        <f t="shared" si="40"/>
        <v>393</v>
      </c>
      <c r="B397" s="52"/>
      <c r="C397" s="53" t="str">
        <f t="shared" si="38"/>
        <v>2C_C51</v>
      </c>
      <c r="D397" s="53"/>
      <c r="E397" s="54">
        <f>+'CALCULO TARIFAS CC '!$O$45</f>
        <v>2.7365639740417844</v>
      </c>
      <c r="F397" s="116">
        <f t="shared" si="39"/>
        <v>1344.3320000000001</v>
      </c>
      <c r="G397" s="56">
        <f t="shared" si="41"/>
        <v>3678.85</v>
      </c>
      <c r="H397" s="50" t="s">
        <v>301</v>
      </c>
      <c r="I397" s="27" t="s">
        <v>443</v>
      </c>
      <c r="J397" s="27">
        <v>1344.3320000000001</v>
      </c>
      <c r="K397" s="39"/>
      <c r="L397" s="299"/>
      <c r="M397" s="300"/>
      <c r="N397" s="301"/>
      <c r="O397" s="301"/>
      <c r="P397" s="315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</row>
    <row r="398" spans="1:27" ht="14.25" customHeight="1" x14ac:dyDescent="0.25">
      <c r="A398" s="51">
        <f t="shared" si="40"/>
        <v>394</v>
      </c>
      <c r="B398" s="52"/>
      <c r="C398" s="53" t="str">
        <f t="shared" si="38"/>
        <v>2C_C58</v>
      </c>
      <c r="D398" s="53"/>
      <c r="E398" s="54">
        <f>+'CALCULO TARIFAS CC '!$O$45</f>
        <v>2.7365639740417844</v>
      </c>
      <c r="F398" s="116">
        <f t="shared" si="39"/>
        <v>6657.4530000000004</v>
      </c>
      <c r="G398" s="56">
        <f t="shared" si="41"/>
        <v>18218.55</v>
      </c>
      <c r="H398" s="50" t="s">
        <v>301</v>
      </c>
      <c r="I398" s="27" t="s">
        <v>158</v>
      </c>
      <c r="J398" s="27">
        <v>6657.4530000000004</v>
      </c>
      <c r="K398" s="39"/>
      <c r="L398" s="299"/>
      <c r="M398" s="300"/>
      <c r="N398" s="301"/>
      <c r="O398" s="301"/>
      <c r="P398" s="315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</row>
    <row r="399" spans="1:27" ht="14.25" customHeight="1" x14ac:dyDescent="0.25">
      <c r="A399" s="51">
        <f t="shared" si="40"/>
        <v>395</v>
      </c>
      <c r="B399" s="52"/>
      <c r="C399" s="53" t="str">
        <f t="shared" si="38"/>
        <v>2C_C60</v>
      </c>
      <c r="D399" s="53"/>
      <c r="E399" s="54">
        <f>+'CALCULO TARIFAS CC '!$O$45</f>
        <v>2.7365639740417844</v>
      </c>
      <c r="F399" s="116">
        <f t="shared" si="39"/>
        <v>7221.6</v>
      </c>
      <c r="G399" s="56">
        <f t="shared" si="41"/>
        <v>19762.37</v>
      </c>
      <c r="H399" s="50" t="s">
        <v>301</v>
      </c>
      <c r="I399" s="27" t="s">
        <v>367</v>
      </c>
      <c r="J399" s="27">
        <v>7221.6</v>
      </c>
      <c r="K399" s="39"/>
      <c r="L399" s="299"/>
      <c r="M399" s="300"/>
      <c r="N399" s="301"/>
      <c r="O399" s="301"/>
      <c r="P399" s="315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</row>
    <row r="400" spans="1:27" ht="14.25" customHeight="1" x14ac:dyDescent="0.25">
      <c r="A400" s="51">
        <f t="shared" si="40"/>
        <v>396</v>
      </c>
      <c r="B400" s="52"/>
      <c r="C400" s="53" t="str">
        <f t="shared" si="38"/>
        <v>2C_C61</v>
      </c>
      <c r="D400" s="53"/>
      <c r="E400" s="54">
        <f>+'CALCULO TARIFAS CC '!$O$45</f>
        <v>2.7365639740417844</v>
      </c>
      <c r="F400" s="116">
        <f t="shared" si="39"/>
        <v>42.207999999999998</v>
      </c>
      <c r="G400" s="56">
        <f t="shared" si="41"/>
        <v>115.5</v>
      </c>
      <c r="H400" s="50" t="s">
        <v>301</v>
      </c>
      <c r="I400" s="27" t="s">
        <v>506</v>
      </c>
      <c r="J400" s="27">
        <v>42.207999999999998</v>
      </c>
      <c r="K400" s="39"/>
      <c r="L400" s="299"/>
      <c r="M400" s="300"/>
      <c r="N400" s="301"/>
      <c r="O400" s="301"/>
      <c r="P400" s="315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</row>
    <row r="401" spans="1:27" ht="14.25" customHeight="1" x14ac:dyDescent="0.25">
      <c r="A401" s="51">
        <f t="shared" si="40"/>
        <v>397</v>
      </c>
      <c r="B401" s="52"/>
      <c r="C401" s="53" t="str">
        <f t="shared" si="38"/>
        <v>2C_C64</v>
      </c>
      <c r="D401" s="53"/>
      <c r="E401" s="54">
        <f>+'CALCULO TARIFAS CC '!$O$45</f>
        <v>2.7365639740417844</v>
      </c>
      <c r="F401" s="116">
        <f t="shared" si="39"/>
        <v>572.37400000000002</v>
      </c>
      <c r="G401" s="56">
        <f t="shared" si="41"/>
        <v>1566.34</v>
      </c>
      <c r="H401" s="50" t="s">
        <v>301</v>
      </c>
      <c r="I401" s="27" t="s">
        <v>580</v>
      </c>
      <c r="J401" s="27">
        <v>572.37400000000002</v>
      </c>
      <c r="K401" s="39"/>
      <c r="L401" s="299"/>
      <c r="M401" s="300"/>
      <c r="N401" s="301"/>
      <c r="O401" s="301"/>
      <c r="P401" s="315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</row>
    <row r="402" spans="1:27" ht="14.25" customHeight="1" x14ac:dyDescent="0.25">
      <c r="A402" s="51">
        <f t="shared" si="40"/>
        <v>398</v>
      </c>
      <c r="B402" s="52"/>
      <c r="C402" s="53" t="str">
        <f t="shared" si="38"/>
        <v>2C_C66</v>
      </c>
      <c r="D402" s="53"/>
      <c r="E402" s="54">
        <f>+'CALCULO TARIFAS CC '!$O$45</f>
        <v>2.7365639740417844</v>
      </c>
      <c r="F402" s="116">
        <f t="shared" si="39"/>
        <v>81.212000000000003</v>
      </c>
      <c r="G402" s="56">
        <f t="shared" si="41"/>
        <v>222.24</v>
      </c>
      <c r="H402" s="50" t="s">
        <v>301</v>
      </c>
      <c r="I402" s="27" t="s">
        <v>687</v>
      </c>
      <c r="J402" s="27">
        <v>81.212000000000003</v>
      </c>
      <c r="K402" s="39"/>
      <c r="L402" s="299"/>
      <c r="M402" s="300"/>
      <c r="N402" s="301"/>
      <c r="O402" s="301"/>
      <c r="P402" s="315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</row>
    <row r="403" spans="1:27" ht="14.25" customHeight="1" x14ac:dyDescent="0.25">
      <c r="A403" s="51">
        <f t="shared" si="40"/>
        <v>399</v>
      </c>
      <c r="B403" s="52"/>
      <c r="C403" s="53" t="str">
        <f t="shared" si="38"/>
        <v>2D_D01</v>
      </c>
      <c r="D403" s="53"/>
      <c r="E403" s="54">
        <f>+'CALCULO TARIFAS CC '!$O$45</f>
        <v>2.7365639740417844</v>
      </c>
      <c r="F403" s="116">
        <f t="shared" si="39"/>
        <v>199539.04199999999</v>
      </c>
      <c r="G403" s="56">
        <f t="shared" si="41"/>
        <v>546051.35</v>
      </c>
      <c r="H403" s="50" t="s">
        <v>301</v>
      </c>
      <c r="I403" s="27" t="s">
        <v>159</v>
      </c>
      <c r="J403" s="27">
        <v>199539.04199999999</v>
      </c>
      <c r="K403" s="39"/>
      <c r="L403" s="299"/>
      <c r="M403" s="300"/>
      <c r="N403" s="301"/>
      <c r="O403" s="301"/>
      <c r="P403" s="315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</row>
    <row r="404" spans="1:27" ht="14.25" customHeight="1" x14ac:dyDescent="0.25">
      <c r="A404" s="51">
        <f t="shared" si="40"/>
        <v>400</v>
      </c>
      <c r="B404" s="52"/>
      <c r="C404" s="53" t="str">
        <f t="shared" si="38"/>
        <v>2D_D02</v>
      </c>
      <c r="D404" s="53"/>
      <c r="E404" s="54">
        <f>+'CALCULO TARIFAS CC '!$O$45</f>
        <v>2.7365639740417844</v>
      </c>
      <c r="F404" s="116">
        <f t="shared" si="39"/>
        <v>139675.60140000001</v>
      </c>
      <c r="G404" s="56">
        <f t="shared" si="41"/>
        <v>382231.22</v>
      </c>
      <c r="H404" s="50" t="s">
        <v>301</v>
      </c>
      <c r="I404" s="27" t="s">
        <v>160</v>
      </c>
      <c r="J404" s="27">
        <v>139675.60140000001</v>
      </c>
      <c r="K404" s="39"/>
      <c r="L404" s="299"/>
      <c r="M404" s="300"/>
      <c r="N404" s="301"/>
      <c r="O404" s="301"/>
      <c r="P404" s="315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</row>
    <row r="405" spans="1:27" s="276" customFormat="1" ht="14.25" customHeight="1" x14ac:dyDescent="0.25">
      <c r="A405" s="51">
        <f t="shared" si="40"/>
        <v>401</v>
      </c>
      <c r="B405" s="52"/>
      <c r="C405" s="53" t="str">
        <f t="shared" si="38"/>
        <v>2D_D03</v>
      </c>
      <c r="D405" s="53"/>
      <c r="E405" s="54">
        <f>+'CALCULO TARIFAS CC '!$O$45</f>
        <v>2.7365639740417844</v>
      </c>
      <c r="F405" s="116">
        <f t="shared" ref="F405:F408" si="42">ROUND(J405,4)</f>
        <v>78823.804799999998</v>
      </c>
      <c r="G405" s="56">
        <f t="shared" ref="G405:G408" si="43">+ROUND(F405*E405,2)</f>
        <v>215706.38</v>
      </c>
      <c r="H405" s="50" t="s">
        <v>301</v>
      </c>
      <c r="I405" s="27" t="s">
        <v>161</v>
      </c>
      <c r="J405" s="27">
        <v>78823.804829999994</v>
      </c>
      <c r="K405" s="39"/>
      <c r="L405" s="299"/>
      <c r="M405" s="300"/>
      <c r="N405" s="301"/>
      <c r="O405" s="301"/>
      <c r="P405" s="315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</row>
    <row r="406" spans="1:27" s="334" customFormat="1" ht="14.25" customHeight="1" x14ac:dyDescent="0.25">
      <c r="A406" s="51">
        <f t="shared" si="40"/>
        <v>402</v>
      </c>
      <c r="B406" s="52"/>
      <c r="C406" s="53" t="str">
        <f t="shared" si="38"/>
        <v>2D_D04</v>
      </c>
      <c r="D406" s="53"/>
      <c r="E406" s="54">
        <f>+'CALCULO TARIFAS CC '!$O$45</f>
        <v>2.7365639740417844</v>
      </c>
      <c r="F406" s="116">
        <f t="shared" si="42"/>
        <v>53700.130799999999</v>
      </c>
      <c r="G406" s="56">
        <f t="shared" si="43"/>
        <v>146953.84</v>
      </c>
      <c r="H406" s="50" t="s">
        <v>301</v>
      </c>
      <c r="I406" s="27" t="s">
        <v>162</v>
      </c>
      <c r="J406" s="27">
        <v>53700.130799999999</v>
      </c>
      <c r="K406" s="39"/>
      <c r="L406" s="299"/>
      <c r="M406" s="300"/>
      <c r="N406" s="301"/>
      <c r="O406" s="301"/>
      <c r="P406" s="315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</row>
    <row r="407" spans="1:27" ht="14.25" customHeight="1" x14ac:dyDescent="0.25">
      <c r="A407" s="51">
        <f t="shared" si="40"/>
        <v>403</v>
      </c>
      <c r="B407" s="52"/>
      <c r="C407" s="53" t="str">
        <f t="shared" si="38"/>
        <v>2D_D05</v>
      </c>
      <c r="D407" s="53"/>
      <c r="E407" s="54">
        <f>+'CALCULO TARIFAS CC '!$O$45</f>
        <v>2.7365639740417844</v>
      </c>
      <c r="F407" s="116">
        <f t="shared" si="42"/>
        <v>11452.0116</v>
      </c>
      <c r="G407" s="56">
        <f t="shared" si="43"/>
        <v>31339.16</v>
      </c>
      <c r="H407" s="50" t="s">
        <v>301</v>
      </c>
      <c r="I407" s="27" t="s">
        <v>163</v>
      </c>
      <c r="J407" s="27">
        <v>11452.011619999999</v>
      </c>
      <c r="K407" s="39"/>
      <c r="L407" s="299"/>
      <c r="M407" s="300"/>
      <c r="N407" s="301"/>
      <c r="O407" s="301"/>
      <c r="P407" s="315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</row>
    <row r="408" spans="1:27" ht="14.25" customHeight="1" x14ac:dyDescent="0.25">
      <c r="A408" s="51">
        <f t="shared" si="40"/>
        <v>404</v>
      </c>
      <c r="B408" s="52"/>
      <c r="C408" s="53" t="str">
        <f t="shared" si="38"/>
        <v>2D_D06</v>
      </c>
      <c r="D408" s="53"/>
      <c r="E408" s="54">
        <f>+'CALCULO TARIFAS CC '!$O$45</f>
        <v>2.7365639740417844</v>
      </c>
      <c r="F408" s="116">
        <f t="shared" si="42"/>
        <v>3442.8307</v>
      </c>
      <c r="G408" s="56">
        <f t="shared" si="43"/>
        <v>9421.5300000000007</v>
      </c>
      <c r="H408" s="50" t="s">
        <v>301</v>
      </c>
      <c r="I408" s="27" t="s">
        <v>164</v>
      </c>
      <c r="J408" s="27">
        <v>3442.8307</v>
      </c>
      <c r="K408" s="39"/>
      <c r="L408" s="299"/>
      <c r="M408" s="300"/>
      <c r="N408" s="301"/>
      <c r="O408" s="301"/>
      <c r="P408" s="315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</row>
    <row r="409" spans="1:27" ht="14.25" customHeight="1" x14ac:dyDescent="0.25">
      <c r="A409" s="51">
        <f t="shared" si="40"/>
        <v>405</v>
      </c>
      <c r="B409" s="52"/>
      <c r="C409" s="53" t="str">
        <f t="shared" si="38"/>
        <v>2D_D07</v>
      </c>
      <c r="D409" s="53"/>
      <c r="E409" s="54">
        <f>+'CALCULO TARIFAS CC '!$O$45</f>
        <v>2.7365639740417844</v>
      </c>
      <c r="F409" s="116">
        <f t="shared" si="39"/>
        <v>10778.5031</v>
      </c>
      <c r="G409" s="56">
        <f t="shared" si="41"/>
        <v>29496.06</v>
      </c>
      <c r="H409" s="50" t="s">
        <v>301</v>
      </c>
      <c r="I409" s="27" t="s">
        <v>165</v>
      </c>
      <c r="J409" s="27">
        <v>10778.503140000001</v>
      </c>
      <c r="K409" s="39"/>
      <c r="L409" s="299"/>
      <c r="M409" s="300"/>
      <c r="N409" s="301"/>
      <c r="O409" s="301"/>
      <c r="P409" s="315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</row>
    <row r="410" spans="1:27" ht="14.25" customHeight="1" x14ac:dyDescent="0.25">
      <c r="A410" s="51">
        <f t="shared" si="40"/>
        <v>406</v>
      </c>
      <c r="B410" s="52"/>
      <c r="C410" s="53" t="str">
        <f t="shared" si="38"/>
        <v>2D_D08</v>
      </c>
      <c r="D410" s="53"/>
      <c r="E410" s="54">
        <f>+'CALCULO TARIFAS CC '!$O$45</f>
        <v>2.7365639740417844</v>
      </c>
      <c r="F410" s="116">
        <f t="shared" si="39"/>
        <v>2179.4706000000001</v>
      </c>
      <c r="G410" s="56">
        <f t="shared" si="41"/>
        <v>5964.26</v>
      </c>
      <c r="H410" s="50" t="s">
        <v>301</v>
      </c>
      <c r="I410" s="27" t="s">
        <v>166</v>
      </c>
      <c r="J410" s="27">
        <v>2179.4706200000001</v>
      </c>
      <c r="K410" s="39"/>
      <c r="L410" s="299"/>
      <c r="M410" s="300"/>
      <c r="N410" s="301"/>
      <c r="O410" s="301"/>
      <c r="P410" s="315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</row>
    <row r="411" spans="1:27" ht="14.25" customHeight="1" x14ac:dyDescent="0.25">
      <c r="A411" s="51">
        <f t="shared" si="40"/>
        <v>407</v>
      </c>
      <c r="B411" s="52"/>
      <c r="C411" s="53" t="str">
        <f t="shared" si="38"/>
        <v>2G_G01</v>
      </c>
      <c r="D411" s="53"/>
      <c r="E411" s="54">
        <f>+'CALCULO TARIFAS CC '!$O$45</f>
        <v>2.7365639740417844</v>
      </c>
      <c r="F411" s="116">
        <f t="shared" si="39"/>
        <v>563.79309999999998</v>
      </c>
      <c r="G411" s="56">
        <f t="shared" si="41"/>
        <v>1542.86</v>
      </c>
      <c r="H411" s="50" t="s">
        <v>301</v>
      </c>
      <c r="I411" s="27" t="s">
        <v>172</v>
      </c>
      <c r="J411" s="27">
        <v>563.79305099999999</v>
      </c>
      <c r="K411" s="39"/>
      <c r="L411" s="299"/>
      <c r="M411" s="300"/>
      <c r="N411" s="301"/>
      <c r="O411" s="301"/>
      <c r="P411" s="315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</row>
    <row r="412" spans="1:27" ht="14.25" customHeight="1" x14ac:dyDescent="0.25">
      <c r="A412" s="51">
        <f t="shared" si="40"/>
        <v>408</v>
      </c>
      <c r="B412" s="52"/>
      <c r="C412" s="53" t="str">
        <f t="shared" si="38"/>
        <v>2G_G02</v>
      </c>
      <c r="D412" s="53"/>
      <c r="E412" s="54">
        <f>+'CALCULO TARIFAS CC '!$O$45</f>
        <v>2.7365639740417844</v>
      </c>
      <c r="F412" s="116">
        <f t="shared" si="39"/>
        <v>339.41419999999999</v>
      </c>
      <c r="G412" s="215">
        <f t="shared" si="41"/>
        <v>928.83</v>
      </c>
      <c r="H412" s="50" t="s">
        <v>301</v>
      </c>
      <c r="I412" s="27" t="s">
        <v>173</v>
      </c>
      <c r="J412" s="27">
        <v>339.41423800000001</v>
      </c>
      <c r="K412" s="39"/>
      <c r="L412" s="299"/>
      <c r="M412" s="300"/>
      <c r="N412" s="301"/>
      <c r="O412" s="301"/>
      <c r="P412" s="315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</row>
    <row r="413" spans="1:27" ht="14.25" customHeight="1" x14ac:dyDescent="0.25">
      <c r="A413" s="51">
        <f t="shared" si="40"/>
        <v>409</v>
      </c>
      <c r="B413" s="52"/>
      <c r="C413" s="53" t="str">
        <f t="shared" si="38"/>
        <v>2G_G03</v>
      </c>
      <c r="D413" s="53"/>
      <c r="E413" s="54">
        <f>+'CALCULO TARIFAS CC '!$O$45</f>
        <v>2.7365639740417844</v>
      </c>
      <c r="F413" s="116">
        <f t="shared" si="39"/>
        <v>191.07210000000001</v>
      </c>
      <c r="G413" s="215">
        <f t="shared" si="41"/>
        <v>522.88</v>
      </c>
      <c r="H413" s="50" t="s">
        <v>301</v>
      </c>
      <c r="I413" s="27" t="s">
        <v>174</v>
      </c>
      <c r="J413" s="27">
        <v>191.072126</v>
      </c>
      <c r="K413" s="39"/>
      <c r="L413" s="299"/>
      <c r="M413" s="300"/>
      <c r="N413" s="301"/>
      <c r="O413" s="301"/>
      <c r="P413" s="315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</row>
    <row r="414" spans="1:27" s="210" customFormat="1" ht="14.25" customHeight="1" x14ac:dyDescent="0.25">
      <c r="A414" s="51">
        <f t="shared" si="40"/>
        <v>410</v>
      </c>
      <c r="B414" s="52"/>
      <c r="C414" s="53" t="str">
        <f t="shared" si="38"/>
        <v>2G_G05</v>
      </c>
      <c r="D414" s="53"/>
      <c r="E414" s="54">
        <f>+'CALCULO TARIFAS CC '!$O$45</f>
        <v>2.7365639740417844</v>
      </c>
      <c r="F414" s="116">
        <f t="shared" si="39"/>
        <v>893.84460000000001</v>
      </c>
      <c r="G414" s="215">
        <f t="shared" si="41"/>
        <v>2446.06</v>
      </c>
      <c r="H414" s="50" t="s">
        <v>301</v>
      </c>
      <c r="I414" s="27" t="s">
        <v>175</v>
      </c>
      <c r="J414" s="27">
        <v>893.84463900000003</v>
      </c>
      <c r="K414" s="39"/>
      <c r="L414" s="299"/>
      <c r="M414" s="300"/>
      <c r="N414" s="301"/>
      <c r="O414" s="301"/>
      <c r="P414" s="315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</row>
    <row r="415" spans="1:27" s="210" customFormat="1" ht="14.25" customHeight="1" x14ac:dyDescent="0.25">
      <c r="A415" s="51">
        <f t="shared" si="40"/>
        <v>411</v>
      </c>
      <c r="B415" s="52"/>
      <c r="C415" s="53" t="str">
        <f t="shared" si="38"/>
        <v>2G_G06</v>
      </c>
      <c r="D415" s="53"/>
      <c r="E415" s="54">
        <f>+'CALCULO TARIFAS CC '!$O$45</f>
        <v>2.7365639740417844</v>
      </c>
      <c r="F415" s="116">
        <f t="shared" si="39"/>
        <v>0</v>
      </c>
      <c r="G415" s="215">
        <f t="shared" si="41"/>
        <v>0</v>
      </c>
      <c r="H415" s="50" t="s">
        <v>301</v>
      </c>
      <c r="I415" s="27" t="s">
        <v>176</v>
      </c>
      <c r="J415" s="27">
        <v>0</v>
      </c>
      <c r="K415" s="39"/>
      <c r="L415" s="299"/>
      <c r="M415" s="300"/>
      <c r="N415" s="301"/>
      <c r="O415" s="301"/>
      <c r="P415" s="315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</row>
    <row r="416" spans="1:27" ht="14.25" customHeight="1" x14ac:dyDescent="0.25">
      <c r="A416" s="51">
        <f t="shared" si="40"/>
        <v>412</v>
      </c>
      <c r="B416" s="52"/>
      <c r="C416" s="53" t="str">
        <f t="shared" si="38"/>
        <v>2G_G07</v>
      </c>
      <c r="D416" s="53"/>
      <c r="E416" s="54">
        <f>+'CALCULO TARIFAS CC '!$O$45</f>
        <v>2.7365639740417844</v>
      </c>
      <c r="F416" s="116">
        <f t="shared" si="39"/>
        <v>389.16129999999998</v>
      </c>
      <c r="G416" s="56">
        <f t="shared" si="41"/>
        <v>1064.96</v>
      </c>
      <c r="H416" s="50" t="s">
        <v>301</v>
      </c>
      <c r="I416" s="27" t="s">
        <v>177</v>
      </c>
      <c r="J416" s="27">
        <v>389.16128500000002</v>
      </c>
      <c r="K416" s="39"/>
      <c r="L416" s="299"/>
      <c r="M416" s="300"/>
      <c r="N416" s="301"/>
      <c r="O416" s="301"/>
      <c r="P416" s="315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</row>
    <row r="417" spans="1:27" ht="14.25" customHeight="1" x14ac:dyDescent="0.25">
      <c r="A417" s="51">
        <f t="shared" si="40"/>
        <v>413</v>
      </c>
      <c r="B417" s="52"/>
      <c r="C417" s="53" t="str">
        <f t="shared" si="38"/>
        <v>2G_G08</v>
      </c>
      <c r="D417" s="53"/>
      <c r="E417" s="54">
        <f>+'CALCULO TARIFAS CC '!$O$45</f>
        <v>2.7365639740417844</v>
      </c>
      <c r="F417" s="116">
        <f t="shared" si="39"/>
        <v>30.2883</v>
      </c>
      <c r="G417" s="56">
        <f t="shared" si="41"/>
        <v>82.89</v>
      </c>
      <c r="H417" s="50" t="s">
        <v>301</v>
      </c>
      <c r="I417" s="27" t="s">
        <v>178</v>
      </c>
      <c r="J417" s="27">
        <v>30.288332</v>
      </c>
      <c r="K417" s="39"/>
      <c r="L417" s="299"/>
      <c r="M417" s="300"/>
      <c r="N417" s="301"/>
      <c r="O417" s="301"/>
      <c r="P417" s="315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</row>
    <row r="418" spans="1:27" ht="14.25" customHeight="1" x14ac:dyDescent="0.25">
      <c r="A418" s="51">
        <f t="shared" si="40"/>
        <v>414</v>
      </c>
      <c r="B418" s="52"/>
      <c r="C418" s="53" t="str">
        <f t="shared" si="38"/>
        <v>2G_G09</v>
      </c>
      <c r="D418" s="53"/>
      <c r="E418" s="54">
        <f>+'CALCULO TARIFAS CC '!$O$45</f>
        <v>2.7365639740417844</v>
      </c>
      <c r="F418" s="116">
        <f t="shared" si="39"/>
        <v>330.82760000000002</v>
      </c>
      <c r="G418" s="56">
        <f t="shared" si="41"/>
        <v>905.33</v>
      </c>
      <c r="H418" s="50" t="s">
        <v>301</v>
      </c>
      <c r="I418" s="27" t="s">
        <v>179</v>
      </c>
      <c r="J418" s="27">
        <v>330.82763</v>
      </c>
      <c r="K418" s="39"/>
      <c r="L418" s="299"/>
      <c r="M418" s="300"/>
      <c r="N418" s="301"/>
      <c r="O418" s="301"/>
      <c r="P418" s="315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</row>
    <row r="419" spans="1:27" ht="14.25" customHeight="1" x14ac:dyDescent="0.25">
      <c r="A419" s="51">
        <f t="shared" si="40"/>
        <v>415</v>
      </c>
      <c r="B419" s="52"/>
      <c r="C419" s="53" t="str">
        <f t="shared" si="38"/>
        <v>2G_G10</v>
      </c>
      <c r="D419" s="53"/>
      <c r="E419" s="54">
        <f>+'CALCULO TARIFAS CC '!$O$45</f>
        <v>2.7365639740417844</v>
      </c>
      <c r="F419" s="116">
        <f t="shared" si="39"/>
        <v>15.4414</v>
      </c>
      <c r="G419" s="56">
        <f t="shared" si="41"/>
        <v>42.26</v>
      </c>
      <c r="H419" s="50" t="s">
        <v>301</v>
      </c>
      <c r="I419" s="27" t="s">
        <v>180</v>
      </c>
      <c r="J419" s="27">
        <v>15.44135</v>
      </c>
      <c r="K419" s="39"/>
      <c r="L419" s="299"/>
      <c r="M419" s="300"/>
      <c r="N419" s="301"/>
      <c r="O419" s="301"/>
      <c r="P419" s="315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</row>
    <row r="420" spans="1:27" s="317" customFormat="1" ht="14.25" customHeight="1" x14ac:dyDescent="0.25">
      <c r="A420" s="51">
        <f t="shared" si="40"/>
        <v>416</v>
      </c>
      <c r="B420" s="52"/>
      <c r="C420" s="53" t="str">
        <f t="shared" si="38"/>
        <v>2G_G11</v>
      </c>
      <c r="D420" s="53"/>
      <c r="E420" s="54">
        <f>+'CALCULO TARIFAS CC '!$O$45</f>
        <v>2.7365639740417844</v>
      </c>
      <c r="F420" s="116">
        <f t="shared" si="39"/>
        <v>33.873699999999999</v>
      </c>
      <c r="G420" s="56">
        <f t="shared" si="41"/>
        <v>92.7</v>
      </c>
      <c r="H420" s="50" t="s">
        <v>301</v>
      </c>
      <c r="I420" s="27" t="s">
        <v>181</v>
      </c>
      <c r="J420" s="27">
        <v>33.873649999999998</v>
      </c>
      <c r="K420" s="39"/>
      <c r="L420" s="299"/>
      <c r="M420" s="300"/>
      <c r="N420" s="301"/>
      <c r="O420" s="301"/>
      <c r="P420" s="315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</row>
    <row r="421" spans="1:27" ht="14.25" customHeight="1" x14ac:dyDescent="0.25">
      <c r="A421" s="51">
        <f t="shared" si="40"/>
        <v>417</v>
      </c>
      <c r="B421" s="52"/>
      <c r="C421" s="53" t="str">
        <f t="shared" si="38"/>
        <v>2G_G12</v>
      </c>
      <c r="D421" s="53"/>
      <c r="E421" s="54">
        <f>+'CALCULO TARIFAS CC '!$O$45</f>
        <v>2.7365639740417844</v>
      </c>
      <c r="F421" s="116">
        <f t="shared" si="39"/>
        <v>221.08789999999999</v>
      </c>
      <c r="G421" s="56">
        <f t="shared" si="41"/>
        <v>605.02</v>
      </c>
      <c r="H421" s="50" t="s">
        <v>301</v>
      </c>
      <c r="I421" s="27" t="s">
        <v>368</v>
      </c>
      <c r="J421" s="27">
        <v>221.08792</v>
      </c>
      <c r="K421" s="39"/>
      <c r="L421" s="299"/>
      <c r="M421" s="300"/>
      <c r="N421" s="301"/>
      <c r="O421" s="301"/>
      <c r="P421" s="315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</row>
    <row r="422" spans="1:27" s="302" customFormat="1" ht="14.25" customHeight="1" x14ac:dyDescent="0.25">
      <c r="A422" s="51">
        <f t="shared" si="40"/>
        <v>418</v>
      </c>
      <c r="B422" s="41"/>
      <c r="C422" s="53" t="str">
        <f t="shared" ref="C422:C424" si="44">I422</f>
        <v>2G_G13</v>
      </c>
      <c r="D422" s="53"/>
      <c r="E422" s="54">
        <f>+'CALCULO TARIFAS CC '!$O$45</f>
        <v>2.7365639740417844</v>
      </c>
      <c r="F422" s="116">
        <f t="shared" ref="F422:F424" si="45">ROUND(J422,4)</f>
        <v>0</v>
      </c>
      <c r="G422" s="56">
        <f t="shared" ref="G422:G424" si="46">+ROUND(F422*E422,2)</f>
        <v>0</v>
      </c>
      <c r="H422" s="50" t="s">
        <v>301</v>
      </c>
      <c r="I422" s="27" t="s">
        <v>507</v>
      </c>
      <c r="J422" s="27">
        <v>0</v>
      </c>
      <c r="K422" s="39"/>
      <c r="L422" s="299"/>
      <c r="M422" s="300"/>
      <c r="N422" s="301"/>
      <c r="O422" s="301"/>
      <c r="P422" s="315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</row>
    <row r="423" spans="1:27" s="302" customFormat="1" ht="14.25" customHeight="1" x14ac:dyDescent="0.25">
      <c r="A423" s="51">
        <f t="shared" si="40"/>
        <v>419</v>
      </c>
      <c r="B423" s="41"/>
      <c r="C423" s="53" t="str">
        <f t="shared" si="44"/>
        <v>2G_G14</v>
      </c>
      <c r="D423" s="53"/>
      <c r="E423" s="54">
        <f>+'CALCULO TARIFAS CC '!$O$45</f>
        <v>2.7365639740417844</v>
      </c>
      <c r="F423" s="116">
        <f t="shared" si="45"/>
        <v>29.664000000000001</v>
      </c>
      <c r="G423" s="56">
        <f t="shared" si="46"/>
        <v>81.180000000000007</v>
      </c>
      <c r="H423" s="50" t="s">
        <v>301</v>
      </c>
      <c r="I423" s="27" t="s">
        <v>508</v>
      </c>
      <c r="J423" s="27">
        <v>29.664000000000001</v>
      </c>
      <c r="K423" s="39"/>
      <c r="L423" s="299"/>
      <c r="M423" s="300"/>
      <c r="N423" s="301"/>
      <c r="O423" s="301"/>
      <c r="P423" s="315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</row>
    <row r="424" spans="1:27" s="302" customFormat="1" ht="14.25" customHeight="1" x14ac:dyDescent="0.25">
      <c r="A424" s="51">
        <f t="shared" si="40"/>
        <v>420</v>
      </c>
      <c r="B424" s="41"/>
      <c r="C424" s="53" t="str">
        <f t="shared" si="44"/>
        <v>2U_U02</v>
      </c>
      <c r="D424" s="53"/>
      <c r="E424" s="54">
        <f>+'CALCULO TARIFAS CC '!$O$45</f>
        <v>2.7365639740417844</v>
      </c>
      <c r="F424" s="116">
        <f t="shared" si="45"/>
        <v>22454.809000000001</v>
      </c>
      <c r="G424" s="56">
        <f t="shared" si="46"/>
        <v>61449.02</v>
      </c>
      <c r="H424" s="50" t="s">
        <v>301</v>
      </c>
      <c r="I424" s="27" t="s">
        <v>182</v>
      </c>
      <c r="J424" s="27">
        <v>22454.80904</v>
      </c>
      <c r="K424" s="39"/>
      <c r="L424" s="299"/>
      <c r="M424" s="300"/>
      <c r="N424" s="301"/>
      <c r="O424" s="301"/>
      <c r="P424" s="315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</row>
    <row r="425" spans="1:27" ht="15.75" thickBot="1" x14ac:dyDescent="0.3">
      <c r="A425" s="51">
        <f t="shared" si="40"/>
        <v>421</v>
      </c>
      <c r="B425" s="141"/>
      <c r="C425" s="142" t="str">
        <f t="shared" si="38"/>
        <v>2U_U05</v>
      </c>
      <c r="D425" s="142"/>
      <c r="E425" s="146">
        <f>+'CALCULO TARIFAS CC '!$O$45</f>
        <v>2.7365639740417844</v>
      </c>
      <c r="F425" s="147">
        <f t="shared" si="39"/>
        <v>6296.4907999999996</v>
      </c>
      <c r="G425" s="148">
        <f t="shared" si="41"/>
        <v>17230.75</v>
      </c>
      <c r="H425" s="50" t="s">
        <v>301</v>
      </c>
      <c r="I425" s="27" t="s">
        <v>183</v>
      </c>
      <c r="J425" s="27">
        <v>6296.4907999999996</v>
      </c>
      <c r="K425" s="39"/>
      <c r="L425" s="299"/>
      <c r="M425" s="300"/>
      <c r="N425" s="301"/>
      <c r="O425" s="301"/>
      <c r="P425" s="315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</row>
    <row r="426" spans="1:27" ht="12.75" customHeight="1" thickBot="1" x14ac:dyDescent="0.3">
      <c r="A426" s="101"/>
      <c r="B426" s="102"/>
      <c r="C426" s="103" t="s">
        <v>314</v>
      </c>
      <c r="D426" s="103"/>
      <c r="E426" s="103"/>
      <c r="F426" s="105">
        <f>ROUND(SUM(F384:F425),4)</f>
        <v>555765.22629999998</v>
      </c>
      <c r="G426" s="107">
        <f>SUM(G384:G425)</f>
        <v>1520887.0999999999</v>
      </c>
      <c r="H426" s="38"/>
      <c r="I426" s="39"/>
      <c r="J426" s="39"/>
      <c r="K426" s="39"/>
      <c r="N426" s="301"/>
      <c r="O426" s="301"/>
      <c r="P426" s="301"/>
      <c r="Q426" s="39"/>
      <c r="S426" s="39"/>
      <c r="T426" s="39"/>
      <c r="U426" s="39"/>
      <c r="V426" s="39"/>
      <c r="W426" s="39"/>
      <c r="X426" s="39"/>
      <c r="Y426" s="39"/>
      <c r="Z426" s="39"/>
    </row>
    <row r="427" spans="1:27" ht="12.75" customHeight="1" x14ac:dyDescent="0.25">
      <c r="A427" s="44">
        <f>A425+1</f>
        <v>422</v>
      </c>
      <c r="B427" s="45" t="s">
        <v>10</v>
      </c>
      <c r="C427" s="46" t="str">
        <f t="shared" ref="C427:C458" si="47">I427</f>
        <v>1CCOMCCELC</v>
      </c>
      <c r="D427" s="46"/>
      <c r="E427" s="47">
        <f>+'CALCULO TARIFAS CC '!$N$45</f>
        <v>0.91473772306697976</v>
      </c>
      <c r="F427" s="162">
        <f t="shared" ref="F427:F458" si="48">J427</f>
        <v>3.932999139191976E-3</v>
      </c>
      <c r="G427" s="164">
        <f t="shared" ref="G427:G446" si="49">+ROUND(E427*F427*$F$553,2)</f>
        <v>3277.4</v>
      </c>
      <c r="H427" s="38" t="s">
        <v>297</v>
      </c>
      <c r="I427" s="347" t="s">
        <v>184</v>
      </c>
      <c r="J427" s="348">
        <v>3.932999139191976E-3</v>
      </c>
      <c r="K427" s="27"/>
      <c r="L427" s="299"/>
      <c r="M427" s="316"/>
      <c r="N427" s="301"/>
      <c r="O427" s="301"/>
      <c r="P427" s="39"/>
      <c r="Q427" s="39"/>
      <c r="S427" s="39"/>
      <c r="T427" s="39"/>
      <c r="U427" s="39"/>
      <c r="V427" s="39"/>
      <c r="W427" s="39"/>
      <c r="X427" s="39"/>
      <c r="Y427" s="39"/>
      <c r="Z427" s="39"/>
      <c r="AA427" s="224"/>
    </row>
    <row r="428" spans="1:27" ht="12.75" customHeight="1" x14ac:dyDescent="0.25">
      <c r="A428" s="51">
        <f t="shared" ref="A428:A534" si="50">+A427+1</f>
        <v>423</v>
      </c>
      <c r="B428" s="52"/>
      <c r="C428" s="53" t="str">
        <f t="shared" si="47"/>
        <v>1CCOMCECEE</v>
      </c>
      <c r="D428" s="53"/>
      <c r="E428" s="54">
        <f>+'CALCULO TARIFAS CC '!$N$45</f>
        <v>0.91473772306697976</v>
      </c>
      <c r="F428" s="168">
        <f t="shared" si="48"/>
        <v>1.3406050024038867E-2</v>
      </c>
      <c r="G428" s="170">
        <f t="shared" si="49"/>
        <v>11171.37</v>
      </c>
      <c r="H428" s="38" t="s">
        <v>297</v>
      </c>
      <c r="I428" s="347" t="s">
        <v>185</v>
      </c>
      <c r="J428" s="348">
        <v>1.3406050024038867E-2</v>
      </c>
      <c r="K428" s="27"/>
      <c r="L428" s="299"/>
      <c r="M428" s="316"/>
      <c r="N428" s="301"/>
      <c r="O428" s="301"/>
      <c r="P428" s="39"/>
      <c r="Q428" s="39"/>
      <c r="S428" s="39"/>
      <c r="T428" s="39"/>
      <c r="U428" s="39"/>
      <c r="V428" s="39"/>
      <c r="W428" s="39"/>
      <c r="X428" s="39"/>
      <c r="Y428" s="39"/>
      <c r="Z428" s="39"/>
      <c r="AA428" s="224"/>
    </row>
    <row r="429" spans="1:27" ht="12.75" customHeight="1" x14ac:dyDescent="0.25">
      <c r="A429" s="51">
        <f t="shared" si="50"/>
        <v>424</v>
      </c>
      <c r="B429" s="52"/>
      <c r="C429" s="53" t="str">
        <f t="shared" si="47"/>
        <v>1CCOMCOELC</v>
      </c>
      <c r="D429" s="53"/>
      <c r="E429" s="54">
        <f>+'CALCULO TARIFAS CC '!$N$45</f>
        <v>0.91473772306697976</v>
      </c>
      <c r="F429" s="168">
        <f t="shared" si="48"/>
        <v>1.328131858124419E-2</v>
      </c>
      <c r="G429" s="170">
        <f t="shared" si="49"/>
        <v>11067.43</v>
      </c>
      <c r="H429" s="38" t="s">
        <v>297</v>
      </c>
      <c r="I429" s="347" t="s">
        <v>186</v>
      </c>
      <c r="J429" s="348">
        <v>1.328131858124419E-2</v>
      </c>
      <c r="K429" s="27"/>
      <c r="L429" s="299"/>
      <c r="M429" s="316"/>
      <c r="N429" s="301"/>
      <c r="O429" s="301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224"/>
    </row>
    <row r="430" spans="1:27" ht="12.75" customHeight="1" x14ac:dyDescent="0.25">
      <c r="A430" s="51">
        <f t="shared" si="50"/>
        <v>425</v>
      </c>
      <c r="B430" s="52"/>
      <c r="C430" s="53" t="str">
        <f t="shared" si="47"/>
        <v>1CCOMCOELG</v>
      </c>
      <c r="D430" s="53"/>
      <c r="E430" s="54">
        <f>+'CALCULO TARIFAS CC '!$N$45</f>
        <v>0.91473772306697976</v>
      </c>
      <c r="F430" s="168">
        <f t="shared" si="48"/>
        <v>7.9321619546391692E-2</v>
      </c>
      <c r="G430" s="170">
        <f t="shared" si="49"/>
        <v>66099.320000000007</v>
      </c>
      <c r="H430" s="38" t="s">
        <v>297</v>
      </c>
      <c r="I430" s="347" t="s">
        <v>187</v>
      </c>
      <c r="J430" s="348">
        <v>7.9321619546391692E-2</v>
      </c>
      <c r="K430" s="27"/>
      <c r="L430" s="299"/>
      <c r="M430" s="316"/>
      <c r="N430" s="301"/>
      <c r="O430" s="301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224"/>
    </row>
    <row r="431" spans="1:27" ht="12.75" customHeight="1" x14ac:dyDescent="0.25">
      <c r="A431" s="51">
        <f t="shared" si="50"/>
        <v>426</v>
      </c>
      <c r="B431" s="52"/>
      <c r="C431" s="53" t="str">
        <f t="shared" si="47"/>
        <v>1CCOMCOELP</v>
      </c>
      <c r="D431" s="53"/>
      <c r="E431" s="54">
        <f>+'CALCULO TARIFAS CC '!$N$45</f>
        <v>0.91473772306697976</v>
      </c>
      <c r="F431" s="168">
        <f t="shared" si="48"/>
        <v>4.7906379140744372E-3</v>
      </c>
      <c r="G431" s="170">
        <f t="shared" si="49"/>
        <v>3992.08</v>
      </c>
      <c r="H431" s="38" t="s">
        <v>297</v>
      </c>
      <c r="I431" s="347" t="s">
        <v>188</v>
      </c>
      <c r="J431" s="348">
        <v>4.7906379140744372E-3</v>
      </c>
      <c r="K431" s="27"/>
      <c r="L431" s="299"/>
      <c r="M431" s="316"/>
      <c r="N431" s="301"/>
      <c r="O431" s="301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224"/>
    </row>
    <row r="432" spans="1:27" ht="12.75" customHeight="1" x14ac:dyDescent="0.25">
      <c r="A432" s="51">
        <f t="shared" si="50"/>
        <v>427</v>
      </c>
      <c r="B432" s="52"/>
      <c r="C432" s="53" t="str">
        <f t="shared" si="47"/>
        <v>1CCOMCOELU</v>
      </c>
      <c r="D432" s="53"/>
      <c r="E432" s="54">
        <f>+'CALCULO TARIFAS CC '!$N$45</f>
        <v>0.91473772306697976</v>
      </c>
      <c r="F432" s="168">
        <f t="shared" si="48"/>
        <v>1.564236977766461E-2</v>
      </c>
      <c r="G432" s="170">
        <f t="shared" si="49"/>
        <v>13034.91</v>
      </c>
      <c r="H432" s="38" t="s">
        <v>297</v>
      </c>
      <c r="I432" s="347" t="s">
        <v>189</v>
      </c>
      <c r="J432" s="348">
        <v>1.564236977766461E-2</v>
      </c>
      <c r="K432" s="27"/>
      <c r="L432" s="299"/>
      <c r="M432" s="316"/>
      <c r="N432" s="301"/>
      <c r="O432" s="301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224"/>
    </row>
    <row r="433" spans="1:27" ht="12.75" customHeight="1" x14ac:dyDescent="0.25">
      <c r="A433" s="51">
        <f t="shared" si="50"/>
        <v>428</v>
      </c>
      <c r="B433" s="52"/>
      <c r="C433" s="53" t="str">
        <f t="shared" si="47"/>
        <v>1CCOMCOEND</v>
      </c>
      <c r="D433" s="53"/>
      <c r="E433" s="54">
        <f>+'CALCULO TARIFAS CC '!$N$45</f>
        <v>0.91473772306697976</v>
      </c>
      <c r="F433" s="168">
        <f t="shared" si="48"/>
        <v>3.1545563686169384E-2</v>
      </c>
      <c r="G433" s="170">
        <f t="shared" si="49"/>
        <v>26287.16</v>
      </c>
      <c r="H433" s="38" t="s">
        <v>297</v>
      </c>
      <c r="I433" s="347" t="s">
        <v>190</v>
      </c>
      <c r="J433" s="348">
        <v>3.1545563686169384E-2</v>
      </c>
      <c r="K433" s="27"/>
      <c r="L433" s="299"/>
      <c r="M433" s="316"/>
      <c r="N433" s="301"/>
      <c r="O433" s="301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224"/>
    </row>
    <row r="434" spans="1:27" ht="12.75" customHeight="1" x14ac:dyDescent="0.25">
      <c r="A434" s="51">
        <f t="shared" si="50"/>
        <v>429</v>
      </c>
      <c r="B434" s="52"/>
      <c r="C434" s="53" t="str">
        <f t="shared" si="47"/>
        <v>1CCOMCOESD</v>
      </c>
      <c r="D434" s="53"/>
      <c r="E434" s="54">
        <f>+'CALCULO TARIFAS CC '!$N$45</f>
        <v>0.91473772306697976</v>
      </c>
      <c r="F434" s="168">
        <f t="shared" si="48"/>
        <v>2.2702056186638384E-2</v>
      </c>
      <c r="G434" s="170">
        <f t="shared" si="49"/>
        <v>18917.8</v>
      </c>
      <c r="H434" s="38" t="s">
        <v>297</v>
      </c>
      <c r="I434" s="347" t="s">
        <v>191</v>
      </c>
      <c r="J434" s="348">
        <v>2.2702056186638384E-2</v>
      </c>
      <c r="K434" s="27"/>
      <c r="L434" s="299"/>
      <c r="M434" s="316"/>
      <c r="N434" s="301"/>
      <c r="O434" s="301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224"/>
    </row>
    <row r="435" spans="1:27" ht="12.75" customHeight="1" x14ac:dyDescent="0.25">
      <c r="A435" s="51">
        <f t="shared" si="50"/>
        <v>430</v>
      </c>
      <c r="B435" s="52"/>
      <c r="C435" s="53" t="str">
        <f t="shared" si="47"/>
        <v>1CCOMCOGUE</v>
      </c>
      <c r="D435" s="53"/>
      <c r="E435" s="54">
        <f>+'CALCULO TARIFAS CC '!$N$45</f>
        <v>0.91473772306697976</v>
      </c>
      <c r="F435" s="168">
        <f t="shared" si="48"/>
        <v>7.9976787472845166E-3</v>
      </c>
      <c r="G435" s="170">
        <f t="shared" si="49"/>
        <v>6664.53</v>
      </c>
      <c r="H435" s="38" t="s">
        <v>297</v>
      </c>
      <c r="I435" s="347" t="s">
        <v>192</v>
      </c>
      <c r="J435" s="348">
        <v>7.9976787472845166E-3</v>
      </c>
      <c r="K435" s="27"/>
      <c r="L435" s="299"/>
      <c r="M435" s="316"/>
      <c r="N435" s="301"/>
      <c r="O435" s="301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224"/>
    </row>
    <row r="436" spans="1:27" ht="12.75" customHeight="1" x14ac:dyDescent="0.25">
      <c r="A436" s="51">
        <f t="shared" si="50"/>
        <v>431</v>
      </c>
      <c r="B436" s="52"/>
      <c r="C436" s="53" t="str">
        <f t="shared" si="47"/>
        <v>1CCOMCOMCO</v>
      </c>
      <c r="D436" s="53"/>
      <c r="E436" s="54">
        <f>+'CALCULO TARIFAS CC '!$N$45</f>
        <v>0.91473772306697976</v>
      </c>
      <c r="F436" s="168">
        <f t="shared" si="48"/>
        <v>1.0644912768341878E-8</v>
      </c>
      <c r="G436" s="170">
        <f t="shared" si="49"/>
        <v>0.01</v>
      </c>
      <c r="H436" s="38" t="s">
        <v>297</v>
      </c>
      <c r="I436" s="347" t="s">
        <v>709</v>
      </c>
      <c r="J436" s="348">
        <v>1.0644912768341878E-8</v>
      </c>
      <c r="K436" s="27"/>
      <c r="L436" s="299"/>
      <c r="M436" s="316"/>
      <c r="N436" s="301"/>
      <c r="O436" s="301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224"/>
    </row>
    <row r="437" spans="1:27" ht="12.75" customHeight="1" x14ac:dyDescent="0.25">
      <c r="A437" s="51">
        <f t="shared" si="50"/>
        <v>432</v>
      </c>
      <c r="B437" s="52"/>
      <c r="C437" s="53" t="str">
        <f t="shared" si="47"/>
        <v>1CCOMCOMEL</v>
      </c>
      <c r="D437" s="53"/>
      <c r="E437" s="54">
        <f>+'CALCULO TARIFAS CC '!$N$45</f>
        <v>0.91473772306697976</v>
      </c>
      <c r="F437" s="168">
        <f t="shared" si="48"/>
        <v>3.1365962006575765E-2</v>
      </c>
      <c r="G437" s="170">
        <f t="shared" si="49"/>
        <v>26137.5</v>
      </c>
      <c r="H437" s="38" t="s">
        <v>297</v>
      </c>
      <c r="I437" s="347" t="s">
        <v>193</v>
      </c>
      <c r="J437" s="348">
        <v>3.1365962006575765E-2</v>
      </c>
      <c r="K437" s="27"/>
      <c r="L437" s="299"/>
      <c r="M437" s="316"/>
      <c r="N437" s="301"/>
      <c r="O437" s="301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224"/>
    </row>
    <row r="438" spans="1:27" ht="12.75" customHeight="1" x14ac:dyDescent="0.25">
      <c r="A438" s="51">
        <f t="shared" si="50"/>
        <v>433</v>
      </c>
      <c r="B438" s="52"/>
      <c r="C438" s="53" t="str">
        <f t="shared" si="47"/>
        <v>1CCOMCUCOE</v>
      </c>
      <c r="D438" s="53"/>
      <c r="E438" s="54">
        <f>+'CALCULO TARIFAS CC '!$N$45</f>
        <v>0.91473772306697976</v>
      </c>
      <c r="F438" s="168">
        <f t="shared" si="48"/>
        <v>3.8176710379858613E-3</v>
      </c>
      <c r="G438" s="170">
        <f t="shared" si="49"/>
        <v>3181.29</v>
      </c>
      <c r="H438" s="38" t="s">
        <v>297</v>
      </c>
      <c r="I438" s="347" t="s">
        <v>194</v>
      </c>
      <c r="J438" s="348">
        <v>3.8176710379858613E-3</v>
      </c>
      <c r="K438" s="27"/>
      <c r="L438" s="299"/>
      <c r="M438" s="316"/>
      <c r="N438" s="301"/>
      <c r="O438" s="301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224"/>
    </row>
    <row r="439" spans="1:27" ht="12.75" customHeight="1" x14ac:dyDescent="0.25">
      <c r="A439" s="51">
        <f t="shared" si="50"/>
        <v>434</v>
      </c>
      <c r="B439" s="52"/>
      <c r="C439" s="53" t="str">
        <f t="shared" si="47"/>
        <v>1CCOMECONO</v>
      </c>
      <c r="D439" s="53"/>
      <c r="E439" s="54">
        <f>+'CALCULO TARIFAS CC '!$N$45</f>
        <v>0.91473772306697976</v>
      </c>
      <c r="F439" s="168">
        <f t="shared" si="48"/>
        <v>5.7944391626310867E-3</v>
      </c>
      <c r="G439" s="170">
        <f t="shared" si="49"/>
        <v>4828.55</v>
      </c>
      <c r="H439" s="38" t="s">
        <v>297</v>
      </c>
      <c r="I439" s="347" t="s">
        <v>195</v>
      </c>
      <c r="J439" s="348">
        <v>5.7944391626310867E-3</v>
      </c>
      <c r="K439" s="27"/>
      <c r="L439" s="299"/>
      <c r="M439" s="316"/>
      <c r="N439" s="301"/>
      <c r="O439" s="301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224"/>
    </row>
    <row r="440" spans="1:27" ht="12.75" customHeight="1" x14ac:dyDescent="0.25">
      <c r="A440" s="51">
        <f t="shared" si="50"/>
        <v>435</v>
      </c>
      <c r="B440" s="52"/>
      <c r="C440" s="53" t="str">
        <f t="shared" si="47"/>
        <v>1CCOMINVNA</v>
      </c>
      <c r="D440" s="53"/>
      <c r="E440" s="54">
        <f>+'CALCULO TARIFAS CC '!$N$45</f>
        <v>0.91473772306697976</v>
      </c>
      <c r="F440" s="168">
        <f t="shared" si="48"/>
        <v>3.498296943975101E-6</v>
      </c>
      <c r="G440" s="170">
        <f t="shared" si="49"/>
        <v>2.92</v>
      </c>
      <c r="H440" s="38" t="s">
        <v>297</v>
      </c>
      <c r="I440" s="347" t="s">
        <v>369</v>
      </c>
      <c r="J440" s="348">
        <v>3.498296943975101E-6</v>
      </c>
      <c r="K440" s="27"/>
      <c r="L440" s="299"/>
      <c r="M440" s="316"/>
      <c r="N440" s="301"/>
      <c r="O440" s="301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224"/>
    </row>
    <row r="441" spans="1:27" ht="12.75" customHeight="1" x14ac:dyDescent="0.25">
      <c r="A441" s="51">
        <f t="shared" si="50"/>
        <v>436</v>
      </c>
      <c r="B441" s="52"/>
      <c r="C441" s="53" t="str">
        <f t="shared" si="47"/>
        <v>1CCOMIONEN</v>
      </c>
      <c r="D441" s="53"/>
      <c r="E441" s="54">
        <f>+'CALCULO TARIFAS CC '!$N$45</f>
        <v>0.91473772306697976</v>
      </c>
      <c r="F441" s="168">
        <f t="shared" si="48"/>
        <v>3.8109826107051485E-2</v>
      </c>
      <c r="G441" s="170">
        <f t="shared" si="49"/>
        <v>31757.21</v>
      </c>
      <c r="H441" s="38" t="s">
        <v>297</v>
      </c>
      <c r="I441" s="347" t="s">
        <v>196</v>
      </c>
      <c r="J441" s="348">
        <v>3.8109826107051485E-2</v>
      </c>
      <c r="K441" s="27"/>
      <c r="L441" s="299"/>
      <c r="M441" s="316"/>
      <c r="N441" s="301"/>
      <c r="O441" s="301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224"/>
    </row>
    <row r="442" spans="1:27" ht="12.75" customHeight="1" x14ac:dyDescent="0.25">
      <c r="A442" s="51">
        <f t="shared" si="50"/>
        <v>437</v>
      </c>
      <c r="B442" s="52"/>
      <c r="C442" s="53" t="str">
        <f t="shared" si="47"/>
        <v>1CCOMMAYEL</v>
      </c>
      <c r="D442" s="53"/>
      <c r="E442" s="54">
        <f>+'CALCULO TARIFAS CC '!$N$45</f>
        <v>0.91473772306697976</v>
      </c>
      <c r="F442" s="168">
        <f t="shared" si="48"/>
        <v>9.3339441357116488E-3</v>
      </c>
      <c r="G442" s="170">
        <f t="shared" si="49"/>
        <v>7778.05</v>
      </c>
      <c r="H442" s="38" t="s">
        <v>297</v>
      </c>
      <c r="I442" s="347" t="s">
        <v>197</v>
      </c>
      <c r="J442" s="348">
        <v>9.3339441357116488E-3</v>
      </c>
      <c r="K442" s="27"/>
      <c r="L442" s="299"/>
      <c r="M442" s="316"/>
      <c r="N442" s="301"/>
      <c r="O442" s="301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224"/>
    </row>
    <row r="443" spans="1:27" ht="12.75" customHeight="1" x14ac:dyDescent="0.25">
      <c r="A443" s="51">
        <f t="shared" si="50"/>
        <v>438</v>
      </c>
      <c r="B443" s="52"/>
      <c r="C443" s="53" t="str">
        <f t="shared" si="47"/>
        <v>1CCOMRECGE</v>
      </c>
      <c r="D443" s="53"/>
      <c r="E443" s="54">
        <f>+'CALCULO TARIFAS CC '!$N$45</f>
        <v>0.91473772306697976</v>
      </c>
      <c r="F443" s="168">
        <f t="shared" si="48"/>
        <v>8.3128752718834627E-3</v>
      </c>
      <c r="G443" s="170">
        <f t="shared" si="49"/>
        <v>6927.18</v>
      </c>
      <c r="H443" s="38" t="s">
        <v>297</v>
      </c>
      <c r="I443" s="347" t="s">
        <v>198</v>
      </c>
      <c r="J443" s="348">
        <v>8.3128752718834627E-3</v>
      </c>
      <c r="K443" s="27"/>
      <c r="L443" s="299"/>
      <c r="M443" s="316"/>
      <c r="N443" s="301"/>
      <c r="O443" s="301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224"/>
    </row>
    <row r="444" spans="1:27" ht="12.75" customHeight="1" x14ac:dyDescent="0.25">
      <c r="A444" s="51">
        <f t="shared" si="50"/>
        <v>439</v>
      </c>
      <c r="B444" s="52"/>
      <c r="C444" s="53" t="str">
        <f t="shared" si="47"/>
        <v>1CCOMSOLGU</v>
      </c>
      <c r="D444" s="53"/>
      <c r="E444" s="54">
        <f>+'CALCULO TARIFAS CC '!$N$45</f>
        <v>0.91473772306697976</v>
      </c>
      <c r="F444" s="168">
        <f t="shared" si="48"/>
        <v>4.6192892720085419E-3</v>
      </c>
      <c r="G444" s="170">
        <f t="shared" si="49"/>
        <v>3849.29</v>
      </c>
      <c r="H444" s="38" t="s">
        <v>297</v>
      </c>
      <c r="I444" s="347" t="s">
        <v>199</v>
      </c>
      <c r="J444" s="348">
        <v>4.6192892720085419E-3</v>
      </c>
      <c r="K444" s="27"/>
      <c r="L444" s="299"/>
      <c r="M444" s="316"/>
      <c r="N444" s="301"/>
      <c r="O444" s="301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224"/>
    </row>
    <row r="445" spans="1:27" ht="12.75" customHeight="1" x14ac:dyDescent="0.25">
      <c r="A445" s="51">
        <f t="shared" si="50"/>
        <v>440</v>
      </c>
      <c r="B445" s="52"/>
      <c r="C445" s="53" t="str">
        <f t="shared" si="47"/>
        <v>1DDISDIELO</v>
      </c>
      <c r="D445" s="53"/>
      <c r="E445" s="54">
        <f>+'CALCULO TARIFAS CC '!$N$45</f>
        <v>0.91473772306697976</v>
      </c>
      <c r="F445" s="168">
        <f t="shared" si="48"/>
        <v>0.15029977933601288</v>
      </c>
      <c r="G445" s="170">
        <f t="shared" si="49"/>
        <v>125245.97</v>
      </c>
      <c r="H445" s="38" t="s">
        <v>297</v>
      </c>
      <c r="I445" s="347" t="s">
        <v>200</v>
      </c>
      <c r="J445" s="348">
        <v>0.15029977933601288</v>
      </c>
      <c r="K445" s="27"/>
      <c r="L445" s="299"/>
      <c r="M445" s="316"/>
      <c r="N445" s="301"/>
      <c r="O445" s="301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224"/>
    </row>
    <row r="446" spans="1:27" ht="12.75" customHeight="1" x14ac:dyDescent="0.25">
      <c r="A446" s="51">
        <f t="shared" si="50"/>
        <v>441</v>
      </c>
      <c r="B446" s="52"/>
      <c r="C446" s="53" t="str">
        <f t="shared" si="47"/>
        <v>1DDISDISEL</v>
      </c>
      <c r="D446" s="53"/>
      <c r="E446" s="54">
        <f>+'CALCULO TARIFAS CC '!$N$45</f>
        <v>0.91473772306697976</v>
      </c>
      <c r="F446" s="168">
        <f t="shared" si="48"/>
        <v>0.12619651741354995</v>
      </c>
      <c r="G446" s="170">
        <f t="shared" si="49"/>
        <v>105160.53</v>
      </c>
      <c r="H446" s="38" t="s">
        <v>297</v>
      </c>
      <c r="I446" s="347" t="s">
        <v>201</v>
      </c>
      <c r="J446" s="348">
        <v>0.12619651741354995</v>
      </c>
      <c r="K446" s="27"/>
      <c r="L446" s="299"/>
      <c r="M446" s="316"/>
      <c r="N446" s="301"/>
      <c r="O446" s="301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224"/>
    </row>
    <row r="447" spans="1:27" ht="12.75" customHeight="1" x14ac:dyDescent="0.25">
      <c r="A447" s="227">
        <f t="shared" si="50"/>
        <v>442</v>
      </c>
      <c r="B447" s="52"/>
      <c r="C447" s="228" t="str">
        <f t="shared" si="47"/>
        <v>1DDISEMPEL</v>
      </c>
      <c r="D447" s="228"/>
      <c r="E447" s="229">
        <f>+'CALCULO TARIFAS CC '!$N$45</f>
        <v>0.91473772306697976</v>
      </c>
      <c r="F447" s="230">
        <f t="shared" si="48"/>
        <v>0.33904614823763768</v>
      </c>
      <c r="G447" s="231">
        <f>+ROUND(E447*F447*$F$553,2)-0.02</f>
        <v>282529.76</v>
      </c>
      <c r="H447" s="38" t="s">
        <v>297</v>
      </c>
      <c r="I447" s="347" t="s">
        <v>202</v>
      </c>
      <c r="J447" s="348">
        <v>0.33904614823763768</v>
      </c>
      <c r="K447" s="27"/>
      <c r="L447" s="299"/>
      <c r="M447" s="316"/>
      <c r="N447" s="301"/>
      <c r="O447" s="301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224"/>
    </row>
    <row r="448" spans="1:27" ht="12.75" customHeight="1" x14ac:dyDescent="0.25">
      <c r="A448" s="51">
        <f t="shared" si="50"/>
        <v>443</v>
      </c>
      <c r="B448" s="52"/>
      <c r="C448" s="53" t="str">
        <f t="shared" si="47"/>
        <v>1DDISEMREP</v>
      </c>
      <c r="D448" s="53"/>
      <c r="E448" s="54">
        <f>+'CALCULO TARIFAS CC '!$N$45</f>
        <v>0.91473772306697976</v>
      </c>
      <c r="F448" s="168">
        <f t="shared" si="48"/>
        <v>7.6821249596710874E-4</v>
      </c>
      <c r="G448" s="170">
        <f t="shared" ref="G448:G479" si="51">+ROUND(E448*F448*$F$553,2)</f>
        <v>640.16</v>
      </c>
      <c r="H448" s="38" t="s">
        <v>297</v>
      </c>
      <c r="I448" s="347" t="s">
        <v>203</v>
      </c>
      <c r="J448" s="348">
        <v>7.6821249596710874E-4</v>
      </c>
      <c r="K448" s="27"/>
      <c r="L448" s="299"/>
      <c r="M448" s="316"/>
      <c r="N448" s="301"/>
      <c r="O448" s="301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224"/>
    </row>
    <row r="449" spans="1:27" ht="12.75" customHeight="1" x14ac:dyDescent="0.25">
      <c r="A449" s="51">
        <f t="shared" si="50"/>
        <v>444</v>
      </c>
      <c r="B449" s="52"/>
      <c r="C449" s="53" t="str">
        <f t="shared" si="47"/>
        <v>1GGDRAGAAC</v>
      </c>
      <c r="D449" s="53"/>
      <c r="E449" s="54">
        <f>+'CALCULO TARIFAS CC '!$N$45</f>
        <v>0.91473772306697976</v>
      </c>
      <c r="F449" s="168">
        <f t="shared" si="48"/>
        <v>1.0743595697898859E-7</v>
      </c>
      <c r="G449" s="170">
        <f t="shared" si="51"/>
        <v>0.09</v>
      </c>
      <c r="H449" s="38" t="s">
        <v>297</v>
      </c>
      <c r="I449" s="347" t="s">
        <v>204</v>
      </c>
      <c r="J449" s="348">
        <v>1.0743595697898859E-7</v>
      </c>
      <c r="K449" s="27"/>
      <c r="L449" s="299"/>
      <c r="M449" s="316"/>
      <c r="N449" s="301"/>
      <c r="O449" s="301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224"/>
    </row>
    <row r="450" spans="1:27" ht="12.75" customHeight="1" x14ac:dyDescent="0.25">
      <c r="A450" s="51">
        <f t="shared" si="50"/>
        <v>445</v>
      </c>
      <c r="B450" s="52"/>
      <c r="C450" s="53" t="str">
        <f t="shared" si="47"/>
        <v>1GGDRAGELC</v>
      </c>
      <c r="D450" s="53"/>
      <c r="E450" s="54">
        <f>+'CALCULO TARIFAS CC '!$N$45</f>
        <v>0.91473772306697976</v>
      </c>
      <c r="F450" s="168">
        <f t="shared" si="48"/>
        <v>1.4918418877811421E-8</v>
      </c>
      <c r="G450" s="170">
        <f t="shared" si="51"/>
        <v>0.01</v>
      </c>
      <c r="H450" s="38" t="s">
        <v>297</v>
      </c>
      <c r="I450" s="347" t="s">
        <v>205</v>
      </c>
      <c r="J450" s="348">
        <v>1.4918418877811421E-8</v>
      </c>
      <c r="K450" s="27"/>
      <c r="L450" s="299"/>
      <c r="M450" s="316"/>
      <c r="N450" s="301"/>
      <c r="O450" s="301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224"/>
    </row>
    <row r="451" spans="1:27" ht="12.75" customHeight="1" x14ac:dyDescent="0.25">
      <c r="A451" s="51">
        <f t="shared" si="50"/>
        <v>446</v>
      </c>
      <c r="B451" s="52"/>
      <c r="C451" s="53" t="str">
        <f t="shared" si="47"/>
        <v>1GGDRAGLAE</v>
      </c>
      <c r="D451" s="53"/>
      <c r="E451" s="54">
        <f>+'CALCULO TARIFAS CC '!$N$45</f>
        <v>0.91473772306697976</v>
      </c>
      <c r="F451" s="168">
        <f t="shared" si="48"/>
        <v>2.5890273153195742E-7</v>
      </c>
      <c r="G451" s="170">
        <f t="shared" si="51"/>
        <v>0.22</v>
      </c>
      <c r="H451" s="38" t="s">
        <v>297</v>
      </c>
      <c r="I451" s="347" t="s">
        <v>444</v>
      </c>
      <c r="J451" s="348">
        <v>2.5890273153195742E-7</v>
      </c>
      <c r="K451" s="27"/>
      <c r="L451" s="299"/>
      <c r="M451" s="316"/>
      <c r="N451" s="301"/>
      <c r="O451" s="301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224"/>
    </row>
    <row r="452" spans="1:27" ht="12.75" customHeight="1" x14ac:dyDescent="0.25">
      <c r="A452" s="51">
        <f t="shared" si="50"/>
        <v>447</v>
      </c>
      <c r="B452" s="52"/>
      <c r="C452" s="53" t="str">
        <f t="shared" si="47"/>
        <v>1GGDRAGPIN</v>
      </c>
      <c r="D452" s="53"/>
      <c r="E452" s="54">
        <f>+'CALCULO TARIFAS CC '!$N$45</f>
        <v>0.91473772306697976</v>
      </c>
      <c r="F452" s="168">
        <f t="shared" si="48"/>
        <v>3.4612501304517878E-7</v>
      </c>
      <c r="G452" s="170">
        <f t="shared" si="51"/>
        <v>0.28999999999999998</v>
      </c>
      <c r="H452" s="38" t="s">
        <v>297</v>
      </c>
      <c r="I452" s="347" t="s">
        <v>206</v>
      </c>
      <c r="J452" s="348">
        <v>3.4612501304517878E-7</v>
      </c>
      <c r="K452" s="27"/>
      <c r="L452" s="299"/>
      <c r="M452" s="316"/>
      <c r="N452" s="301"/>
      <c r="O452" s="301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224"/>
    </row>
    <row r="453" spans="1:27" ht="12.75" customHeight="1" x14ac:dyDescent="0.25">
      <c r="A453" s="51">
        <f t="shared" si="50"/>
        <v>448</v>
      </c>
      <c r="B453" s="52"/>
      <c r="C453" s="53" t="str">
        <f t="shared" si="47"/>
        <v>1GGDRAGRAL</v>
      </c>
      <c r="D453" s="53"/>
      <c r="E453" s="54">
        <f>+'CALCULO TARIFAS CC '!$N$45</f>
        <v>0.91473772306697976</v>
      </c>
      <c r="F453" s="168">
        <f t="shared" si="48"/>
        <v>8.1221774804819346E-7</v>
      </c>
      <c r="G453" s="170">
        <f t="shared" si="51"/>
        <v>0.68</v>
      </c>
      <c r="H453" s="38" t="s">
        <v>297</v>
      </c>
      <c r="I453" s="347" t="s">
        <v>207</v>
      </c>
      <c r="J453" s="348">
        <v>8.1221774804819346E-7</v>
      </c>
      <c r="K453" s="27"/>
      <c r="L453" s="299"/>
      <c r="M453" s="316"/>
      <c r="N453" s="301"/>
      <c r="O453" s="301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224"/>
    </row>
    <row r="454" spans="1:27" ht="12.75" customHeight="1" x14ac:dyDescent="0.25">
      <c r="A454" s="51">
        <f t="shared" si="50"/>
        <v>449</v>
      </c>
      <c r="B454" s="52"/>
      <c r="C454" s="53" t="str">
        <f t="shared" si="47"/>
        <v>1GGDRAGROG</v>
      </c>
      <c r="D454" s="53"/>
      <c r="E454" s="54">
        <f>+'CALCULO TARIFAS CC '!$N$45</f>
        <v>0.91473772306697976</v>
      </c>
      <c r="F454" s="168">
        <f t="shared" si="48"/>
        <v>2.8304435170322132E-5</v>
      </c>
      <c r="G454" s="170">
        <f t="shared" si="51"/>
        <v>23.59</v>
      </c>
      <c r="H454" s="38" t="s">
        <v>297</v>
      </c>
      <c r="I454" s="347" t="s">
        <v>208</v>
      </c>
      <c r="J454" s="348">
        <v>2.8304435170322132E-5</v>
      </c>
      <c r="K454" s="27"/>
      <c r="L454" s="299"/>
      <c r="M454" s="316"/>
      <c r="N454" s="301"/>
      <c r="O454" s="301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224"/>
    </row>
    <row r="455" spans="1:27" ht="12.75" customHeight="1" x14ac:dyDescent="0.25">
      <c r="A455" s="51">
        <f t="shared" si="50"/>
        <v>450</v>
      </c>
      <c r="B455" s="52"/>
      <c r="C455" s="53" t="str">
        <f t="shared" si="47"/>
        <v>1GGDRAGROP</v>
      </c>
      <c r="D455" s="53"/>
      <c r="E455" s="54">
        <f>+'CALCULO TARIFAS CC '!$N$45</f>
        <v>0.91473772306697976</v>
      </c>
      <c r="F455" s="168">
        <f t="shared" si="48"/>
        <v>5.6199003685250205E-9</v>
      </c>
      <c r="G455" s="170">
        <f t="shared" si="51"/>
        <v>0</v>
      </c>
      <c r="H455" s="38" t="s">
        <v>297</v>
      </c>
      <c r="I455" s="347" t="s">
        <v>209</v>
      </c>
      <c r="J455" s="348">
        <v>5.6199003685250205E-9</v>
      </c>
      <c r="K455" s="27"/>
      <c r="L455" s="299"/>
      <c r="M455" s="316"/>
      <c r="N455" s="301"/>
      <c r="O455" s="301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224"/>
    </row>
    <row r="456" spans="1:27" ht="12.75" customHeight="1" x14ac:dyDescent="0.25">
      <c r="A456" s="51">
        <f t="shared" si="50"/>
        <v>451</v>
      </c>
      <c r="B456" s="52"/>
      <c r="C456" s="53" t="str">
        <f t="shared" si="47"/>
        <v>1GGDRCAURE</v>
      </c>
      <c r="D456" s="53"/>
      <c r="E456" s="54">
        <f>+'CALCULO TARIFAS CC '!$N$45</f>
        <v>0.91473772306697976</v>
      </c>
      <c r="F456" s="168">
        <f t="shared" si="48"/>
        <v>4.5648357900004026E-9</v>
      </c>
      <c r="G456" s="170">
        <f t="shared" si="51"/>
        <v>0</v>
      </c>
      <c r="H456" s="38" t="s">
        <v>297</v>
      </c>
      <c r="I456" s="347" t="s">
        <v>210</v>
      </c>
      <c r="J456" s="348">
        <v>4.5648357900004026E-9</v>
      </c>
      <c r="K456" s="27"/>
      <c r="L456" s="299"/>
      <c r="M456" s="316"/>
      <c r="N456" s="301"/>
      <c r="O456" s="301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224"/>
    </row>
    <row r="457" spans="1:27" ht="12.75" customHeight="1" x14ac:dyDescent="0.25">
      <c r="A457" s="51">
        <f t="shared" si="50"/>
        <v>452</v>
      </c>
      <c r="B457" s="52"/>
      <c r="C457" s="53" t="str">
        <f t="shared" si="47"/>
        <v>1GGDRCOAGO</v>
      </c>
      <c r="D457" s="53"/>
      <c r="E457" s="54">
        <f>+'CALCULO TARIFAS CC '!$N$45</f>
        <v>0.91473772306697976</v>
      </c>
      <c r="F457" s="168">
        <f t="shared" si="48"/>
        <v>7.4084401804141014E-8</v>
      </c>
      <c r="G457" s="170">
        <f t="shared" si="51"/>
        <v>0.06</v>
      </c>
      <c r="H457" s="38" t="s">
        <v>297</v>
      </c>
      <c r="I457" s="347" t="s">
        <v>211</v>
      </c>
      <c r="J457" s="348">
        <v>7.4084401804141014E-8</v>
      </c>
      <c r="K457" s="27"/>
      <c r="L457" s="299"/>
      <c r="M457" s="316"/>
      <c r="N457" s="301"/>
      <c r="O457" s="301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224"/>
    </row>
    <row r="458" spans="1:27" ht="12.75" customHeight="1" x14ac:dyDescent="0.25">
      <c r="A458" s="51">
        <f t="shared" si="50"/>
        <v>453</v>
      </c>
      <c r="B458" s="52"/>
      <c r="C458" s="53" t="str">
        <f t="shared" si="47"/>
        <v>1GGDRCOMAP</v>
      </c>
      <c r="D458" s="53"/>
      <c r="E458" s="54">
        <f>+'CALCULO TARIFAS CC '!$N$45</f>
        <v>0.91473772306697976</v>
      </c>
      <c r="F458" s="168">
        <f t="shared" si="48"/>
        <v>2.5258052290653166E-7</v>
      </c>
      <c r="G458" s="170">
        <f t="shared" si="51"/>
        <v>0.21</v>
      </c>
      <c r="H458" s="38" t="s">
        <v>297</v>
      </c>
      <c r="I458" s="347" t="s">
        <v>212</v>
      </c>
      <c r="J458" s="348">
        <v>2.5258052290653166E-7</v>
      </c>
      <c r="K458" s="27"/>
      <c r="L458" s="299"/>
      <c r="M458" s="316"/>
      <c r="N458" s="301"/>
      <c r="O458" s="301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224"/>
    </row>
    <row r="459" spans="1:27" ht="12.75" customHeight="1" x14ac:dyDescent="0.25">
      <c r="A459" s="51">
        <f t="shared" si="50"/>
        <v>454</v>
      </c>
      <c r="B459" s="52"/>
      <c r="C459" s="53" t="str">
        <f t="shared" ref="C459:C490" si="52">I459</f>
        <v>1GGDRCONSM</v>
      </c>
      <c r="D459" s="53"/>
      <c r="E459" s="54">
        <f>+'CALCULO TARIFAS CC '!$N$45</f>
        <v>0.91473772306697976</v>
      </c>
      <c r="F459" s="168">
        <f t="shared" ref="F459:F490" si="53">J459</f>
        <v>7.3484106908860223E-8</v>
      </c>
      <c r="G459" s="170">
        <f t="shared" si="51"/>
        <v>0.06</v>
      </c>
      <c r="H459" s="38" t="s">
        <v>297</v>
      </c>
      <c r="I459" s="347" t="s">
        <v>213</v>
      </c>
      <c r="J459" s="348">
        <v>7.3484106908860223E-8</v>
      </c>
      <c r="K459" s="27"/>
      <c r="L459" s="299"/>
      <c r="M459" s="316"/>
      <c r="N459" s="301"/>
      <c r="O459" s="301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224"/>
    </row>
    <row r="460" spans="1:27" ht="12.75" customHeight="1" x14ac:dyDescent="0.25">
      <c r="A460" s="51">
        <f t="shared" si="50"/>
        <v>455</v>
      </c>
      <c r="B460" s="52"/>
      <c r="C460" s="53" t="str">
        <f t="shared" si="52"/>
        <v>1GGDRCORAL</v>
      </c>
      <c r="D460" s="53"/>
      <c r="E460" s="54">
        <f>+'CALCULO TARIFAS CC '!$N$45</f>
        <v>0.91473772306697976</v>
      </c>
      <c r="F460" s="168">
        <f t="shared" si="53"/>
        <v>7.830025069138423E-7</v>
      </c>
      <c r="G460" s="170">
        <f t="shared" si="51"/>
        <v>0.65</v>
      </c>
      <c r="H460" s="38" t="s">
        <v>297</v>
      </c>
      <c r="I460" s="347" t="s">
        <v>214</v>
      </c>
      <c r="J460" s="348">
        <v>7.830025069138423E-7</v>
      </c>
      <c r="K460" s="27"/>
      <c r="L460" s="299"/>
      <c r="M460" s="316"/>
      <c r="N460" s="301"/>
      <c r="O460" s="301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224"/>
    </row>
    <row r="461" spans="1:27" ht="12.75" customHeight="1" x14ac:dyDescent="0.25">
      <c r="A461" s="51">
        <f t="shared" si="50"/>
        <v>456</v>
      </c>
      <c r="B461" s="52"/>
      <c r="C461" s="53" t="str">
        <f t="shared" si="52"/>
        <v>1GGDRDELAU</v>
      </c>
      <c r="D461" s="53"/>
      <c r="E461" s="54">
        <f>+'CALCULO TARIFAS CC '!$N$45</f>
        <v>0.91473772306697976</v>
      </c>
      <c r="F461" s="168">
        <f t="shared" si="53"/>
        <v>2.7036632209122312E-6</v>
      </c>
      <c r="G461" s="170">
        <f t="shared" si="51"/>
        <v>2.25</v>
      </c>
      <c r="H461" s="38" t="s">
        <v>297</v>
      </c>
      <c r="I461" s="347" t="s">
        <v>215</v>
      </c>
      <c r="J461" s="348">
        <v>2.7036632209122312E-6</v>
      </c>
      <c r="K461" s="27"/>
      <c r="L461" s="299"/>
      <c r="M461" s="316"/>
      <c r="N461" s="301"/>
      <c r="O461" s="301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224"/>
    </row>
    <row r="462" spans="1:27" ht="12.75" customHeight="1" x14ac:dyDescent="0.25">
      <c r="A462" s="51">
        <f t="shared" si="50"/>
        <v>457</v>
      </c>
      <c r="B462" s="52"/>
      <c r="C462" s="53" t="str">
        <f t="shared" si="52"/>
        <v>1GGDRENREA</v>
      </c>
      <c r="D462" s="53"/>
      <c r="E462" s="54">
        <f>+'CALCULO TARIFAS CC '!$N$45</f>
        <v>0.91473772306697976</v>
      </c>
      <c r="F462" s="168">
        <f t="shared" si="53"/>
        <v>5.2026455847830238E-8</v>
      </c>
      <c r="G462" s="170">
        <f t="shared" si="51"/>
        <v>0.04</v>
      </c>
      <c r="H462" s="38" t="s">
        <v>297</v>
      </c>
      <c r="I462" s="347" t="s">
        <v>216</v>
      </c>
      <c r="J462" s="348">
        <v>5.2026455847830238E-8</v>
      </c>
      <c r="K462" s="27"/>
      <c r="L462" s="299"/>
      <c r="M462" s="316"/>
      <c r="N462" s="301"/>
      <c r="O462" s="301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224"/>
    </row>
    <row r="463" spans="1:27" ht="12.75" customHeight="1" x14ac:dyDescent="0.25">
      <c r="A463" s="51">
        <f t="shared" si="50"/>
        <v>458</v>
      </c>
      <c r="B463" s="52"/>
      <c r="C463" s="53" t="str">
        <f t="shared" si="52"/>
        <v>1GGDRGEELP</v>
      </c>
      <c r="D463" s="53"/>
      <c r="E463" s="54">
        <f>+'CALCULO TARIFAS CC '!$N$45</f>
        <v>0.91473772306697976</v>
      </c>
      <c r="F463" s="168">
        <f t="shared" si="53"/>
        <v>2.5315536526000422E-7</v>
      </c>
      <c r="G463" s="170">
        <f t="shared" si="51"/>
        <v>0.21</v>
      </c>
      <c r="H463" s="38" t="s">
        <v>297</v>
      </c>
      <c r="I463" s="347" t="s">
        <v>217</v>
      </c>
      <c r="J463" s="348">
        <v>2.5315536526000422E-7</v>
      </c>
      <c r="K463" s="27"/>
      <c r="L463" s="299"/>
      <c r="M463" s="316"/>
      <c r="N463" s="301"/>
      <c r="O463" s="301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224"/>
    </row>
    <row r="464" spans="1:27" ht="12.75" customHeight="1" x14ac:dyDescent="0.25">
      <c r="A464" s="51">
        <f t="shared" si="50"/>
        <v>459</v>
      </c>
      <c r="B464" s="52"/>
      <c r="C464" s="53" t="str">
        <f t="shared" si="52"/>
        <v>1GGDRGEENP</v>
      </c>
      <c r="D464" s="53"/>
      <c r="E464" s="54">
        <f>+'CALCULO TARIFAS CC '!$N$45</f>
        <v>0.91473772306697976</v>
      </c>
      <c r="F464" s="168">
        <f t="shared" si="53"/>
        <v>5.3304427928559007E-8</v>
      </c>
      <c r="G464" s="170">
        <f t="shared" si="51"/>
        <v>0.04</v>
      </c>
      <c r="H464" s="38" t="s">
        <v>297</v>
      </c>
      <c r="I464" s="347" t="s">
        <v>218</v>
      </c>
      <c r="J464" s="348">
        <v>5.3304427928559007E-8</v>
      </c>
      <c r="K464" s="27"/>
      <c r="L464" s="299"/>
      <c r="M464" s="316"/>
      <c r="N464" s="301"/>
      <c r="O464" s="301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224"/>
    </row>
    <row r="465" spans="1:27" ht="12.75" customHeight="1" x14ac:dyDescent="0.25">
      <c r="A465" s="51">
        <f t="shared" si="50"/>
        <v>460</v>
      </c>
      <c r="B465" s="52"/>
      <c r="C465" s="53" t="str">
        <f t="shared" si="52"/>
        <v>1GGDRGEVEL</v>
      </c>
      <c r="D465" s="53"/>
      <c r="E465" s="54">
        <f>+'CALCULO TARIFAS CC '!$N$45</f>
        <v>0.91473772306697976</v>
      </c>
      <c r="F465" s="168">
        <f t="shared" si="53"/>
        <v>9.5423255864515474E-8</v>
      </c>
      <c r="G465" s="170">
        <f t="shared" si="51"/>
        <v>0.08</v>
      </c>
      <c r="H465" s="38" t="s">
        <v>297</v>
      </c>
      <c r="I465" s="347" t="s">
        <v>219</v>
      </c>
      <c r="J465" s="348">
        <v>9.5423255864515474E-8</v>
      </c>
      <c r="K465" s="27"/>
      <c r="L465" s="299"/>
      <c r="M465" s="316"/>
      <c r="N465" s="301"/>
      <c r="O465" s="301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224"/>
    </row>
    <row r="466" spans="1:27" ht="12.75" customHeight="1" x14ac:dyDescent="0.25">
      <c r="A466" s="51">
        <f t="shared" si="50"/>
        <v>461</v>
      </c>
      <c r="B466" s="52"/>
      <c r="C466" s="53" t="str">
        <f t="shared" si="52"/>
        <v>1GGDRGRUCU</v>
      </c>
      <c r="D466" s="53"/>
      <c r="E466" s="54">
        <f>+'CALCULO TARIFAS CC '!$N$45</f>
        <v>0.91473772306697976</v>
      </c>
      <c r="F466" s="168">
        <f t="shared" si="53"/>
        <v>2.3442922157049426E-8</v>
      </c>
      <c r="G466" s="170">
        <f t="shared" si="51"/>
        <v>0.02</v>
      </c>
      <c r="H466" s="38" t="s">
        <v>297</v>
      </c>
      <c r="I466" s="347" t="s">
        <v>220</v>
      </c>
      <c r="J466" s="348">
        <v>2.3442922157049426E-8</v>
      </c>
      <c r="K466" s="27"/>
      <c r="L466" s="299"/>
      <c r="M466" s="316"/>
      <c r="N466" s="301"/>
      <c r="O466" s="301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224"/>
    </row>
    <row r="467" spans="1:27" ht="12.75" customHeight="1" x14ac:dyDescent="0.25">
      <c r="A467" s="51">
        <f t="shared" si="50"/>
        <v>462</v>
      </c>
      <c r="B467" s="52"/>
      <c r="C467" s="53" t="str">
        <f t="shared" si="52"/>
        <v>1GGDRHICAA</v>
      </c>
      <c r="D467" s="53"/>
      <c r="E467" s="54">
        <f>+'CALCULO TARIFAS CC '!$N$45</f>
        <v>0.91473772306697976</v>
      </c>
      <c r="F467" s="168">
        <f t="shared" si="53"/>
        <v>2.1107224411948667E-8</v>
      </c>
      <c r="G467" s="170">
        <f t="shared" si="51"/>
        <v>0.02</v>
      </c>
      <c r="H467" s="38" t="s">
        <v>297</v>
      </c>
      <c r="I467" s="347" t="s">
        <v>221</v>
      </c>
      <c r="J467" s="348">
        <v>2.1107224411948667E-8</v>
      </c>
      <c r="K467" s="27"/>
      <c r="L467" s="299"/>
      <c r="M467" s="316"/>
      <c r="N467" s="301"/>
      <c r="O467" s="301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224"/>
    </row>
    <row r="468" spans="1:27" ht="12.75" customHeight="1" x14ac:dyDescent="0.25">
      <c r="A468" s="51">
        <f t="shared" si="50"/>
        <v>463</v>
      </c>
      <c r="B468" s="52"/>
      <c r="C468" s="53" t="str">
        <f t="shared" si="52"/>
        <v>1GGDRHIDCH</v>
      </c>
      <c r="D468" s="53"/>
      <c r="E468" s="54">
        <f>+'CALCULO TARIFAS CC '!$N$45</f>
        <v>0.91473772306697976</v>
      </c>
      <c r="F468" s="168">
        <f t="shared" si="53"/>
        <v>1.1651758340920312E-7</v>
      </c>
      <c r="G468" s="170">
        <f t="shared" si="51"/>
        <v>0.1</v>
      </c>
      <c r="H468" s="38" t="s">
        <v>297</v>
      </c>
      <c r="I468" s="347" t="s">
        <v>222</v>
      </c>
      <c r="J468" s="348">
        <v>1.1651758340920312E-7</v>
      </c>
      <c r="K468" s="27"/>
      <c r="L468" s="299"/>
      <c r="M468" s="316"/>
      <c r="N468" s="301"/>
      <c r="O468" s="301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224"/>
    </row>
    <row r="469" spans="1:27" ht="12.75" customHeight="1" x14ac:dyDescent="0.25">
      <c r="A469" s="51">
        <f t="shared" si="50"/>
        <v>464</v>
      </c>
      <c r="B469" s="52"/>
      <c r="C469" s="53" t="str">
        <f t="shared" si="52"/>
        <v>1GGDRHIDMA</v>
      </c>
      <c r="D469" s="53"/>
      <c r="E469" s="54">
        <f>+'CALCULO TARIFAS CC '!$N$45</f>
        <v>0.91473772306697976</v>
      </c>
      <c r="F469" s="168">
        <f t="shared" si="53"/>
        <v>8.2115457696306012E-6</v>
      </c>
      <c r="G469" s="170">
        <f t="shared" si="51"/>
        <v>6.84</v>
      </c>
      <c r="H469" s="38" t="s">
        <v>297</v>
      </c>
      <c r="I469" s="347" t="s">
        <v>223</v>
      </c>
      <c r="J469" s="348">
        <v>8.2115457696306012E-6</v>
      </c>
      <c r="K469" s="27"/>
      <c r="L469" s="299"/>
      <c r="M469" s="316"/>
      <c r="N469" s="301"/>
      <c r="O469" s="301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224"/>
    </row>
    <row r="470" spans="1:27" ht="12.75" customHeight="1" x14ac:dyDescent="0.25">
      <c r="A470" s="51">
        <f t="shared" si="50"/>
        <v>465</v>
      </c>
      <c r="B470" s="52"/>
      <c r="C470" s="53" t="str">
        <f t="shared" si="52"/>
        <v>1GGDRHIDRL</v>
      </c>
      <c r="D470" s="53"/>
      <c r="E470" s="54">
        <f>+'CALCULO TARIFAS CC '!$N$45</f>
        <v>0.91473772306697976</v>
      </c>
      <c r="F470" s="168">
        <f t="shared" si="53"/>
        <v>2.9105151067503271E-6</v>
      </c>
      <c r="G470" s="170">
        <f t="shared" si="51"/>
        <v>2.4300000000000002</v>
      </c>
      <c r="H470" s="38" t="s">
        <v>297</v>
      </c>
      <c r="I470" s="347" t="s">
        <v>224</v>
      </c>
      <c r="J470" s="348">
        <v>2.9105151067503271E-6</v>
      </c>
      <c r="K470" s="27"/>
      <c r="L470" s="299"/>
      <c r="M470" s="316"/>
      <c r="N470" s="301"/>
      <c r="O470" s="301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224"/>
    </row>
    <row r="471" spans="1:27" ht="12.75" customHeight="1" x14ac:dyDescent="0.25">
      <c r="A471" s="51">
        <f t="shared" si="50"/>
        <v>466</v>
      </c>
      <c r="B471" s="52"/>
      <c r="C471" s="53" t="str">
        <f t="shared" si="52"/>
        <v>1GGDRHIDRO</v>
      </c>
      <c r="D471" s="53"/>
      <c r="E471" s="54">
        <f>+'CALCULO TARIFAS CC '!$N$45</f>
        <v>0.91473772306697976</v>
      </c>
      <c r="F471" s="168">
        <f t="shared" si="53"/>
        <v>2.287160760584533E-6</v>
      </c>
      <c r="G471" s="170">
        <f t="shared" si="51"/>
        <v>1.91</v>
      </c>
      <c r="H471" s="38" t="s">
        <v>297</v>
      </c>
      <c r="I471" s="347" t="s">
        <v>225</v>
      </c>
      <c r="J471" s="348">
        <v>2.287160760584533E-6</v>
      </c>
      <c r="K471" s="27"/>
      <c r="L471" s="299"/>
      <c r="M471" s="316"/>
      <c r="N471" s="301"/>
      <c r="O471" s="301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224"/>
    </row>
    <row r="472" spans="1:27" ht="12.75" customHeight="1" x14ac:dyDescent="0.25">
      <c r="A472" s="51">
        <f t="shared" si="50"/>
        <v>467</v>
      </c>
      <c r="B472" s="52"/>
      <c r="C472" s="53" t="str">
        <f t="shared" si="52"/>
        <v>1GGDRHIDRX</v>
      </c>
      <c r="D472" s="53"/>
      <c r="E472" s="54">
        <f>+'CALCULO TARIFAS CC '!$N$45</f>
        <v>0.91473772306697976</v>
      </c>
      <c r="F472" s="168">
        <f t="shared" si="53"/>
        <v>8.7628937590815982E-8</v>
      </c>
      <c r="G472" s="170">
        <f t="shared" si="51"/>
        <v>7.0000000000000007E-2</v>
      </c>
      <c r="H472" s="38" t="s">
        <v>297</v>
      </c>
      <c r="I472" s="347" t="s">
        <v>437</v>
      </c>
      <c r="J472" s="348">
        <v>8.7628937590815982E-8</v>
      </c>
      <c r="K472" s="27"/>
      <c r="L472" s="299"/>
      <c r="M472" s="316"/>
      <c r="N472" s="301"/>
      <c r="O472" s="301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224"/>
    </row>
    <row r="473" spans="1:27" ht="12.75" customHeight="1" x14ac:dyDescent="0.25">
      <c r="A473" s="51">
        <f t="shared" si="50"/>
        <v>468</v>
      </c>
      <c r="B473" s="52"/>
      <c r="C473" s="53" t="str">
        <f t="shared" si="52"/>
        <v>1GGDRHIDSA</v>
      </c>
      <c r="D473" s="53"/>
      <c r="E473" s="54">
        <f>+'CALCULO TARIFAS CC '!$N$45</f>
        <v>0.91473772306697976</v>
      </c>
      <c r="F473" s="168">
        <f t="shared" si="53"/>
        <v>6.8195078717832604E-8</v>
      </c>
      <c r="G473" s="170">
        <f t="shared" si="51"/>
        <v>0.06</v>
      </c>
      <c r="H473" s="38" t="s">
        <v>297</v>
      </c>
      <c r="I473" s="347" t="s">
        <v>558</v>
      </c>
      <c r="J473" s="348">
        <v>6.8195078717832604E-8</v>
      </c>
      <c r="K473" s="27"/>
      <c r="L473" s="299"/>
      <c r="M473" s="316"/>
      <c r="N473" s="301"/>
      <c r="O473" s="301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224"/>
    </row>
    <row r="474" spans="1:27" ht="12.75" customHeight="1" x14ac:dyDescent="0.25">
      <c r="A474" s="51">
        <f t="shared" si="50"/>
        <v>469</v>
      </c>
      <c r="B474" s="52"/>
      <c r="C474" s="53" t="str">
        <f t="shared" si="52"/>
        <v>1GGDRHIDSD</v>
      </c>
      <c r="D474" s="53"/>
      <c r="E474" s="54">
        <f>+'CALCULO TARIFAS CC '!$N$45</f>
        <v>0.91473772306697976</v>
      </c>
      <c r="F474" s="168">
        <f t="shared" si="53"/>
        <v>1.3910203101372834E-8</v>
      </c>
      <c r="G474" s="170">
        <f t="shared" si="51"/>
        <v>0.01</v>
      </c>
      <c r="H474" s="38" t="s">
        <v>297</v>
      </c>
      <c r="I474" s="347" t="s">
        <v>226</v>
      </c>
      <c r="J474" s="348">
        <v>1.3910203101372834E-8</v>
      </c>
      <c r="K474" s="27"/>
      <c r="L474" s="299"/>
      <c r="M474" s="316"/>
      <c r="N474" s="301"/>
      <c r="O474" s="301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224"/>
    </row>
    <row r="475" spans="1:27" ht="12.75" customHeight="1" x14ac:dyDescent="0.25">
      <c r="A475" s="51">
        <f t="shared" si="50"/>
        <v>470</v>
      </c>
      <c r="B475" s="52"/>
      <c r="C475" s="53" t="str">
        <f t="shared" si="52"/>
        <v>1GGDRHIDSM</v>
      </c>
      <c r="D475" s="53"/>
      <c r="E475" s="54">
        <f>+'CALCULO TARIFAS CC '!$N$45</f>
        <v>0.91473772306697976</v>
      </c>
      <c r="F475" s="168">
        <f t="shared" si="53"/>
        <v>2.0011917565413932E-8</v>
      </c>
      <c r="G475" s="170">
        <f t="shared" si="51"/>
        <v>0.02</v>
      </c>
      <c r="H475" s="38" t="s">
        <v>297</v>
      </c>
      <c r="I475" s="347" t="s">
        <v>227</v>
      </c>
      <c r="J475" s="348">
        <v>2.0011917565413932E-8</v>
      </c>
      <c r="K475" s="27"/>
      <c r="L475" s="299"/>
      <c r="M475" s="316"/>
      <c r="N475" s="301"/>
      <c r="O475" s="301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224"/>
    </row>
    <row r="476" spans="1:27" ht="12.75" customHeight="1" x14ac:dyDescent="0.25">
      <c r="A476" s="51">
        <f t="shared" si="50"/>
        <v>471</v>
      </c>
      <c r="B476" s="52"/>
      <c r="C476" s="53" t="str">
        <f t="shared" si="52"/>
        <v>1GGDRHIELB</v>
      </c>
      <c r="D476" s="53"/>
      <c r="E476" s="54">
        <f>+'CALCULO TARIFAS CC '!$N$45</f>
        <v>0.91473772306697976</v>
      </c>
      <c r="F476" s="168">
        <f t="shared" si="53"/>
        <v>4.2965779084882759E-6</v>
      </c>
      <c r="G476" s="170">
        <f t="shared" si="51"/>
        <v>3.58</v>
      </c>
      <c r="H476" s="38" t="s">
        <v>297</v>
      </c>
      <c r="I476" s="347" t="s">
        <v>228</v>
      </c>
      <c r="J476" s="348">
        <v>4.2965779084882759E-6</v>
      </c>
      <c r="K476" s="27"/>
      <c r="L476" s="299"/>
      <c r="M476" s="316"/>
      <c r="N476" s="301"/>
      <c r="O476" s="301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224"/>
    </row>
    <row r="477" spans="1:27" ht="12.75" customHeight="1" x14ac:dyDescent="0.25">
      <c r="A477" s="51">
        <f t="shared" si="50"/>
        <v>472</v>
      </c>
      <c r="B477" s="52"/>
      <c r="C477" s="53" t="str">
        <f t="shared" si="52"/>
        <v>1GGDRHIELC</v>
      </c>
      <c r="D477" s="53"/>
      <c r="E477" s="54">
        <f>+'CALCULO TARIFAS CC '!$N$45</f>
        <v>0.91473772306697976</v>
      </c>
      <c r="F477" s="168">
        <f t="shared" si="53"/>
        <v>1.9643929270981471E-8</v>
      </c>
      <c r="G477" s="170">
        <f t="shared" si="51"/>
        <v>0.02</v>
      </c>
      <c r="H477" s="38" t="s">
        <v>297</v>
      </c>
      <c r="I477" s="347" t="s">
        <v>229</v>
      </c>
      <c r="J477" s="348">
        <v>1.9643929270981471E-8</v>
      </c>
      <c r="K477" s="27"/>
      <c r="L477" s="299"/>
      <c r="M477" s="316"/>
      <c r="N477" s="301"/>
      <c r="O477" s="301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224"/>
    </row>
    <row r="478" spans="1:27" ht="12.75" customHeight="1" x14ac:dyDescent="0.25">
      <c r="A478" s="51">
        <f t="shared" si="50"/>
        <v>473</v>
      </c>
      <c r="B478" s="52"/>
      <c r="C478" s="53" t="str">
        <f t="shared" si="52"/>
        <v>1GGDRHISAA</v>
      </c>
      <c r="D478" s="53"/>
      <c r="E478" s="54">
        <f>+'CALCULO TARIFAS CC '!$N$45</f>
        <v>0.91473772306697976</v>
      </c>
      <c r="F478" s="168">
        <f t="shared" si="53"/>
        <v>1.1194953932109211E-6</v>
      </c>
      <c r="G478" s="170">
        <f t="shared" si="51"/>
        <v>0.93</v>
      </c>
      <c r="H478" s="38" t="s">
        <v>297</v>
      </c>
      <c r="I478" s="347" t="s">
        <v>230</v>
      </c>
      <c r="J478" s="348">
        <v>1.1194953932109211E-6</v>
      </c>
      <c r="K478" s="27"/>
      <c r="L478" s="299"/>
      <c r="M478" s="316"/>
      <c r="N478" s="301"/>
      <c r="O478" s="301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224"/>
    </row>
    <row r="479" spans="1:27" ht="12.75" customHeight="1" x14ac:dyDescent="0.25">
      <c r="A479" s="51">
        <f t="shared" si="50"/>
        <v>474</v>
      </c>
      <c r="B479" s="52"/>
      <c r="C479" s="53" t="str">
        <f t="shared" si="52"/>
        <v>1GGDRINDBI</v>
      </c>
      <c r="D479" s="53"/>
      <c r="E479" s="54">
        <f>+'CALCULO TARIFAS CC '!$N$45</f>
        <v>0.91473772306697976</v>
      </c>
      <c r="F479" s="168">
        <f t="shared" si="53"/>
        <v>3.3714096588388634E-6</v>
      </c>
      <c r="G479" s="170">
        <f t="shared" si="51"/>
        <v>2.81</v>
      </c>
      <c r="H479" s="38" t="s">
        <v>297</v>
      </c>
      <c r="I479" s="347" t="s">
        <v>231</v>
      </c>
      <c r="J479" s="348">
        <v>3.3714096588388634E-6</v>
      </c>
      <c r="K479" s="27"/>
      <c r="L479" s="299"/>
      <c r="M479" s="316"/>
      <c r="N479" s="301"/>
      <c r="O479" s="301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224"/>
    </row>
    <row r="480" spans="1:27" ht="12.75" customHeight="1" x14ac:dyDescent="0.25">
      <c r="A480" s="51">
        <f t="shared" si="50"/>
        <v>475</v>
      </c>
      <c r="B480" s="52"/>
      <c r="C480" s="53" t="str">
        <f t="shared" si="52"/>
        <v>1GGDRLEEVE</v>
      </c>
      <c r="D480" s="53"/>
      <c r="E480" s="54">
        <f>+'CALCULO TARIFAS CC '!$N$45</f>
        <v>0.91473772306697976</v>
      </c>
      <c r="F480" s="168">
        <f t="shared" si="53"/>
        <v>9.4045859792348168E-8</v>
      </c>
      <c r="G480" s="170">
        <f t="shared" ref="G480:G511" si="54">+ROUND(E480*F480*$F$553,2)</f>
        <v>0.08</v>
      </c>
      <c r="H480" s="38" t="s">
        <v>297</v>
      </c>
      <c r="I480" s="347" t="s">
        <v>480</v>
      </c>
      <c r="J480" s="348">
        <v>9.4045859792348168E-8</v>
      </c>
      <c r="K480" s="27"/>
      <c r="L480" s="299"/>
      <c r="M480" s="316"/>
      <c r="N480" s="301"/>
      <c r="O480" s="301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224"/>
    </row>
    <row r="481" spans="1:27" ht="12.75" customHeight="1" x14ac:dyDescent="0.25">
      <c r="A481" s="51">
        <f t="shared" si="50"/>
        <v>476</v>
      </c>
      <c r="B481" s="52"/>
      <c r="C481" s="53" t="str">
        <f t="shared" si="52"/>
        <v>1GGDRMONMA</v>
      </c>
      <c r="D481" s="53"/>
      <c r="E481" s="54">
        <f>+'CALCULO TARIFAS CC '!$N$45</f>
        <v>0.91473772306697976</v>
      </c>
      <c r="F481" s="168">
        <f t="shared" si="53"/>
        <v>9.8874787435629255E-8</v>
      </c>
      <c r="G481" s="170">
        <f t="shared" si="54"/>
        <v>0.08</v>
      </c>
      <c r="H481" s="38" t="s">
        <v>297</v>
      </c>
      <c r="I481" s="347" t="s">
        <v>232</v>
      </c>
      <c r="J481" s="348">
        <v>9.8874787435629255E-8</v>
      </c>
      <c r="K481" s="27"/>
      <c r="L481" s="299"/>
      <c r="M481" s="316"/>
      <c r="N481" s="301"/>
      <c r="O481" s="301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224"/>
    </row>
    <row r="482" spans="1:27" ht="12.75" customHeight="1" x14ac:dyDescent="0.25">
      <c r="A482" s="51">
        <f t="shared" si="50"/>
        <v>477</v>
      </c>
      <c r="B482" s="52"/>
      <c r="C482" s="53" t="str">
        <f t="shared" si="52"/>
        <v>1GGDROSCAN</v>
      </c>
      <c r="D482" s="53"/>
      <c r="E482" s="54">
        <f>+'CALCULO TARIFAS CC '!$N$45</f>
        <v>0.91473772306697976</v>
      </c>
      <c r="F482" s="168">
        <f t="shared" si="53"/>
        <v>2.1352524587546992E-7</v>
      </c>
      <c r="G482" s="170">
        <f t="shared" si="54"/>
        <v>0.18</v>
      </c>
      <c r="H482" s="38" t="s">
        <v>297</v>
      </c>
      <c r="I482" s="347" t="s">
        <v>233</v>
      </c>
      <c r="J482" s="348">
        <v>2.1352524587546992E-7</v>
      </c>
      <c r="K482" s="27"/>
      <c r="L482" s="299"/>
      <c r="M482" s="316"/>
      <c r="N482" s="301"/>
      <c r="O482" s="301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224"/>
    </row>
    <row r="483" spans="1:27" ht="12.75" customHeight="1" x14ac:dyDescent="0.25">
      <c r="A483" s="51">
        <f t="shared" si="50"/>
        <v>478</v>
      </c>
      <c r="B483" s="52"/>
      <c r="C483" s="53" t="str">
        <f t="shared" si="52"/>
        <v>1GGDRPRSOG</v>
      </c>
      <c r="D483" s="53"/>
      <c r="E483" s="54">
        <f>+'CALCULO TARIFAS CC '!$N$45</f>
        <v>0.91473772306697976</v>
      </c>
      <c r="F483" s="168">
        <f t="shared" si="53"/>
        <v>9.600466454782696E-9</v>
      </c>
      <c r="G483" s="170">
        <f t="shared" si="54"/>
        <v>0.01</v>
      </c>
      <c r="H483" s="38" t="s">
        <v>297</v>
      </c>
      <c r="I483" s="347" t="s">
        <v>234</v>
      </c>
      <c r="J483" s="348">
        <v>9.600466454782696E-9</v>
      </c>
      <c r="K483" s="27"/>
      <c r="L483" s="299"/>
      <c r="M483" s="316"/>
      <c r="N483" s="301"/>
      <c r="O483" s="301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224"/>
    </row>
    <row r="484" spans="1:27" ht="12.75" customHeight="1" x14ac:dyDescent="0.25">
      <c r="A484" s="51">
        <f t="shared" si="50"/>
        <v>479</v>
      </c>
      <c r="B484" s="52"/>
      <c r="C484" s="53" t="str">
        <f t="shared" si="52"/>
        <v>1GGDRPUNCI   </v>
      </c>
      <c r="D484" s="53"/>
      <c r="E484" s="54">
        <f>+'CALCULO TARIFAS CC '!$N$45</f>
        <v>0.91473772306697976</v>
      </c>
      <c r="F484" s="168">
        <f t="shared" si="53"/>
        <v>7.7624058889502338E-8</v>
      </c>
      <c r="G484" s="170">
        <f t="shared" si="54"/>
        <v>0.06</v>
      </c>
      <c r="H484" s="38" t="s">
        <v>297</v>
      </c>
      <c r="I484" s="347" t="s">
        <v>581</v>
      </c>
      <c r="J484" s="348">
        <v>7.7624058889502338E-8</v>
      </c>
      <c r="K484" s="27"/>
      <c r="L484" s="299"/>
      <c r="M484" s="316"/>
      <c r="N484" s="301"/>
      <c r="O484" s="301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224"/>
    </row>
    <row r="485" spans="1:27" ht="12.75" customHeight="1" x14ac:dyDescent="0.25">
      <c r="A485" s="51">
        <f t="shared" si="50"/>
        <v>480</v>
      </c>
      <c r="B485" s="52"/>
      <c r="C485" s="53" t="str">
        <f t="shared" si="52"/>
        <v>1GGDRREGEN</v>
      </c>
      <c r="D485" s="53"/>
      <c r="E485" s="54">
        <f>+'CALCULO TARIFAS CC '!$N$45</f>
        <v>0.91473772306697976</v>
      </c>
      <c r="F485" s="168">
        <f t="shared" si="53"/>
        <v>9.8717592128859477E-7</v>
      </c>
      <c r="G485" s="170">
        <f t="shared" si="54"/>
        <v>0.82</v>
      </c>
      <c r="H485" s="38" t="s">
        <v>297</v>
      </c>
      <c r="I485" s="347" t="s">
        <v>235</v>
      </c>
      <c r="J485" s="348">
        <v>9.8717592128859477E-7</v>
      </c>
      <c r="K485" s="27"/>
      <c r="L485" s="299"/>
      <c r="M485" s="316"/>
      <c r="N485" s="301"/>
      <c r="O485" s="301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224"/>
    </row>
    <row r="486" spans="1:27" ht="12.75" customHeight="1" x14ac:dyDescent="0.25">
      <c r="A486" s="51">
        <f t="shared" si="50"/>
        <v>481</v>
      </c>
      <c r="B486" s="52"/>
      <c r="C486" s="53" t="str">
        <f t="shared" si="52"/>
        <v>1GGDRSERGE</v>
      </c>
      <c r="D486" s="53"/>
      <c r="E486" s="54">
        <f>+'CALCULO TARIFAS CC '!$N$45</f>
        <v>0.91473772306697976</v>
      </c>
      <c r="F486" s="168">
        <f t="shared" si="53"/>
        <v>1.9474474388436752E-7</v>
      </c>
      <c r="G486" s="170">
        <f t="shared" si="54"/>
        <v>0.16</v>
      </c>
      <c r="H486" s="38" t="s">
        <v>297</v>
      </c>
      <c r="I486" s="347" t="s">
        <v>236</v>
      </c>
      <c r="J486" s="348">
        <v>1.9474474388436752E-7</v>
      </c>
      <c r="K486" s="27"/>
      <c r="L486" s="299"/>
      <c r="M486" s="316"/>
      <c r="N486" s="301"/>
      <c r="O486" s="301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224"/>
    </row>
    <row r="487" spans="1:27" ht="12.75" customHeight="1" x14ac:dyDescent="0.25">
      <c r="A487" s="51">
        <f t="shared" si="50"/>
        <v>482</v>
      </c>
      <c r="B487" s="52"/>
      <c r="C487" s="53" t="str">
        <f t="shared" si="52"/>
        <v>1GGDRSIBOS</v>
      </c>
      <c r="D487" s="53"/>
      <c r="E487" s="54">
        <f>+'CALCULO TARIFAS CC '!$N$45</f>
        <v>0.91473772306697976</v>
      </c>
      <c r="F487" s="168">
        <f t="shared" si="53"/>
        <v>6.4904430279486244E-6</v>
      </c>
      <c r="G487" s="170">
        <f t="shared" si="54"/>
        <v>5.41</v>
      </c>
      <c r="H487" s="38" t="s">
        <v>297</v>
      </c>
      <c r="I487" s="347" t="s">
        <v>237</v>
      </c>
      <c r="J487" s="348">
        <v>6.4904430279486244E-6</v>
      </c>
      <c r="K487" s="27"/>
      <c r="L487" s="299"/>
      <c r="M487" s="316"/>
      <c r="N487" s="301"/>
      <c r="O487" s="301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224"/>
    </row>
    <row r="488" spans="1:27" ht="12.75" customHeight="1" x14ac:dyDescent="0.25">
      <c r="A488" s="51">
        <f t="shared" si="50"/>
        <v>483</v>
      </c>
      <c r="B488" s="52"/>
      <c r="C488" s="53" t="str">
        <f t="shared" si="52"/>
        <v>1GGDRTUNCA</v>
      </c>
      <c r="D488" s="53"/>
      <c r="E488" s="54">
        <f>+'CALCULO TARIFAS CC '!$N$45</f>
        <v>0.91473772306697976</v>
      </c>
      <c r="F488" s="168">
        <f t="shared" si="53"/>
        <v>3.4996370174761429E-6</v>
      </c>
      <c r="G488" s="170">
        <f t="shared" si="54"/>
        <v>2.92</v>
      </c>
      <c r="H488" s="38" t="s">
        <v>297</v>
      </c>
      <c r="I488" s="347" t="s">
        <v>238</v>
      </c>
      <c r="J488" s="348">
        <v>3.4996370174761429E-6</v>
      </c>
      <c r="K488" s="27"/>
      <c r="L488" s="299"/>
      <c r="M488" s="316"/>
      <c r="N488" s="301"/>
      <c r="O488" s="301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224"/>
    </row>
    <row r="489" spans="1:27" ht="12.75" customHeight="1" x14ac:dyDescent="0.25">
      <c r="A489" s="51">
        <f t="shared" si="50"/>
        <v>484</v>
      </c>
      <c r="B489" s="52"/>
      <c r="C489" s="53" t="str">
        <f t="shared" si="52"/>
        <v>1GGDRXOLPR</v>
      </c>
      <c r="D489" s="53"/>
      <c r="E489" s="54">
        <f>+'CALCULO TARIFAS CC '!$N$45</f>
        <v>0.91473772306697976</v>
      </c>
      <c r="F489" s="168">
        <f t="shared" si="53"/>
        <v>5.2060616627367303E-7</v>
      </c>
      <c r="G489" s="170">
        <f t="shared" si="54"/>
        <v>0.43</v>
      </c>
      <c r="H489" s="38" t="s">
        <v>297</v>
      </c>
      <c r="I489" s="347" t="s">
        <v>239</v>
      </c>
      <c r="J489" s="348">
        <v>5.2060616627367303E-7</v>
      </c>
      <c r="K489" s="27"/>
      <c r="L489" s="299"/>
      <c r="M489" s="316"/>
      <c r="N489" s="301"/>
      <c r="O489" s="301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224"/>
    </row>
    <row r="490" spans="1:27" ht="12.75" customHeight="1" x14ac:dyDescent="0.25">
      <c r="A490" s="51">
        <f t="shared" si="50"/>
        <v>485</v>
      </c>
      <c r="B490" s="52"/>
      <c r="C490" s="53" t="str">
        <f t="shared" si="52"/>
        <v>1GGENAGENA</v>
      </c>
      <c r="D490" s="53"/>
      <c r="E490" s="54">
        <f>+'CALCULO TARIFAS CC '!$N$45</f>
        <v>0.91473772306697976</v>
      </c>
      <c r="F490" s="168">
        <f t="shared" si="53"/>
        <v>1.6977755631767762E-7</v>
      </c>
      <c r="G490" s="170">
        <f t="shared" si="54"/>
        <v>0.14000000000000001</v>
      </c>
      <c r="H490" s="38" t="s">
        <v>297</v>
      </c>
      <c r="I490" s="347" t="s">
        <v>688</v>
      </c>
      <c r="J490" s="348">
        <v>1.6977755631767762E-7</v>
      </c>
      <c r="K490" s="27"/>
      <c r="L490" s="299"/>
      <c r="M490" s="316"/>
      <c r="N490" s="301"/>
      <c r="O490" s="301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224"/>
    </row>
    <row r="491" spans="1:27" ht="12.75" customHeight="1" x14ac:dyDescent="0.25">
      <c r="A491" s="51">
        <f t="shared" si="50"/>
        <v>486</v>
      </c>
      <c r="B491" s="52"/>
      <c r="C491" s="53" t="str">
        <f t="shared" ref="C491:C552" si="55">I491</f>
        <v>1GGENAGRPO</v>
      </c>
      <c r="D491" s="53"/>
      <c r="E491" s="54">
        <f>+'CALCULO TARIFAS CC '!$N$45</f>
        <v>0.91473772306697976</v>
      </c>
      <c r="F491" s="168">
        <f t="shared" ref="F491:F517" si="56">J491</f>
        <v>1.2887101233522772E-5</v>
      </c>
      <c r="G491" s="170">
        <f t="shared" si="54"/>
        <v>10.74</v>
      </c>
      <c r="H491" s="38" t="s">
        <v>297</v>
      </c>
      <c r="I491" s="347" t="s">
        <v>240</v>
      </c>
      <c r="J491" s="348">
        <v>1.2887101233522772E-5</v>
      </c>
      <c r="K491" s="27"/>
      <c r="L491" s="299"/>
      <c r="M491" s="316"/>
      <c r="N491" s="301"/>
      <c r="O491" s="301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224"/>
    </row>
    <row r="492" spans="1:27" ht="12.75" customHeight="1" x14ac:dyDescent="0.25">
      <c r="A492" s="51">
        <f t="shared" si="50"/>
        <v>487</v>
      </c>
      <c r="B492" s="52"/>
      <c r="C492" s="53" t="str">
        <f t="shared" si="55"/>
        <v>1GGENALENR</v>
      </c>
      <c r="D492" s="53"/>
      <c r="E492" s="54">
        <f>+'CALCULO TARIFAS CC '!$N$45</f>
        <v>0.91473772306697976</v>
      </c>
      <c r="F492" s="168">
        <f t="shared" si="56"/>
        <v>2.6484747362715574E-5</v>
      </c>
      <c r="G492" s="170">
        <f t="shared" si="54"/>
        <v>22.07</v>
      </c>
      <c r="H492" s="38" t="s">
        <v>297</v>
      </c>
      <c r="I492" s="347" t="s">
        <v>241</v>
      </c>
      <c r="J492" s="348">
        <v>2.6484747362715574E-5</v>
      </c>
      <c r="K492" s="27"/>
      <c r="L492" s="299"/>
      <c r="M492" s="316"/>
      <c r="N492" s="301"/>
      <c r="O492" s="301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224"/>
    </row>
    <row r="493" spans="1:27" ht="12.75" customHeight="1" x14ac:dyDescent="0.25">
      <c r="A493" s="51">
        <f t="shared" si="50"/>
        <v>488</v>
      </c>
      <c r="B493" s="52"/>
      <c r="C493" s="53" t="str">
        <f t="shared" si="55"/>
        <v>1GGENANACA</v>
      </c>
      <c r="D493" s="53"/>
      <c r="E493" s="54">
        <f>+'CALCULO TARIFAS CC '!$N$45</f>
        <v>0.91473772306697976</v>
      </c>
      <c r="F493" s="168">
        <f t="shared" si="56"/>
        <v>1.372181306102544E-4</v>
      </c>
      <c r="G493" s="170">
        <f t="shared" si="54"/>
        <v>114.34</v>
      </c>
      <c r="H493" s="38" t="s">
        <v>297</v>
      </c>
      <c r="I493" s="347" t="s">
        <v>242</v>
      </c>
      <c r="J493" s="348">
        <v>1.372181306102544E-4</v>
      </c>
      <c r="K493" s="27"/>
      <c r="L493" s="299"/>
      <c r="M493" s="316"/>
      <c r="N493" s="301"/>
      <c r="O493" s="301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224"/>
    </row>
    <row r="494" spans="1:27" ht="12.75" customHeight="1" x14ac:dyDescent="0.25">
      <c r="A494" s="51">
        <f t="shared" si="50"/>
        <v>489</v>
      </c>
      <c r="B494" s="52"/>
      <c r="C494" s="53" t="str">
        <f t="shared" si="55"/>
        <v>1GGENBIOEN</v>
      </c>
      <c r="D494" s="53"/>
      <c r="E494" s="54">
        <f>+'CALCULO TARIFAS CC '!$N$45</f>
        <v>0.91473772306697976</v>
      </c>
      <c r="F494" s="168">
        <f t="shared" si="56"/>
        <v>1.1497352222649479E-5</v>
      </c>
      <c r="G494" s="170">
        <f t="shared" si="54"/>
        <v>9.58</v>
      </c>
      <c r="H494" s="38" t="s">
        <v>297</v>
      </c>
      <c r="I494" s="347" t="s">
        <v>689</v>
      </c>
      <c r="J494" s="348">
        <v>1.1497352222649479E-5</v>
      </c>
      <c r="K494" s="27"/>
      <c r="L494" s="299"/>
      <c r="M494" s="316"/>
      <c r="N494" s="301"/>
      <c r="O494" s="301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224"/>
    </row>
    <row r="495" spans="1:27" ht="12.75" customHeight="1" x14ac:dyDescent="0.25">
      <c r="A495" s="51">
        <f t="shared" si="50"/>
        <v>490</v>
      </c>
      <c r="B495" s="52"/>
      <c r="C495" s="53" t="str">
        <f t="shared" si="55"/>
        <v>1GGENCAISA</v>
      </c>
      <c r="D495" s="53"/>
      <c r="E495" s="54">
        <f>+'CALCULO TARIFAS CC '!$N$45</f>
        <v>0.91473772306697976</v>
      </c>
      <c r="F495" s="168">
        <f t="shared" si="56"/>
        <v>7.446056948716129E-4</v>
      </c>
      <c r="G495" s="170">
        <f t="shared" si="54"/>
        <v>620.49</v>
      </c>
      <c r="H495" s="38" t="s">
        <v>297</v>
      </c>
      <c r="I495" s="347" t="s">
        <v>243</v>
      </c>
      <c r="J495" s="348">
        <v>7.446056948716129E-4</v>
      </c>
      <c r="K495" s="27"/>
      <c r="L495" s="299"/>
      <c r="M495" s="316"/>
      <c r="N495" s="301"/>
      <c r="O495" s="301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224"/>
    </row>
    <row r="496" spans="1:27" ht="12.75" customHeight="1" x14ac:dyDescent="0.25">
      <c r="A496" s="51">
        <f t="shared" si="50"/>
        <v>491</v>
      </c>
      <c r="B496" s="52"/>
      <c r="C496" s="53" t="str">
        <f t="shared" si="55"/>
        <v>1GGENCEAIG</v>
      </c>
      <c r="D496" s="53"/>
      <c r="E496" s="54">
        <f>+'CALCULO TARIFAS CC '!$N$45</f>
        <v>0.91473772306697976</v>
      </c>
      <c r="F496" s="168">
        <f t="shared" si="56"/>
        <v>2.3012166355890771E-9</v>
      </c>
      <c r="G496" s="170">
        <f t="shared" si="54"/>
        <v>0</v>
      </c>
      <c r="H496" s="38" t="s">
        <v>297</v>
      </c>
      <c r="I496" s="347" t="s">
        <v>244</v>
      </c>
      <c r="J496" s="348">
        <v>2.3012166355890771E-9</v>
      </c>
      <c r="K496" s="27"/>
      <c r="L496" s="299"/>
      <c r="M496" s="316"/>
      <c r="N496" s="301"/>
      <c r="O496" s="301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224"/>
    </row>
    <row r="497" spans="1:27" ht="12.75" customHeight="1" x14ac:dyDescent="0.25">
      <c r="A497" s="51">
        <f t="shared" si="50"/>
        <v>492</v>
      </c>
      <c r="B497" s="52"/>
      <c r="C497" s="53" t="str">
        <f t="shared" si="55"/>
        <v>1GGENCINMC</v>
      </c>
      <c r="D497" s="53"/>
      <c r="E497" s="54">
        <f>+'CALCULO TARIFAS CC '!$N$45</f>
        <v>0.91473772306697976</v>
      </c>
      <c r="F497" s="168">
        <f t="shared" si="56"/>
        <v>1.7227411233411493E-5</v>
      </c>
      <c r="G497" s="170">
        <f t="shared" si="54"/>
        <v>14.36</v>
      </c>
      <c r="H497" s="38" t="s">
        <v>297</v>
      </c>
      <c r="I497" s="347" t="s">
        <v>245</v>
      </c>
      <c r="J497" s="348">
        <v>1.7227411233411493E-5</v>
      </c>
      <c r="K497" s="27"/>
      <c r="L497" s="299"/>
      <c r="M497" s="316"/>
      <c r="N497" s="301"/>
      <c r="O497" s="301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224"/>
    </row>
    <row r="498" spans="1:27" ht="12.75" customHeight="1" x14ac:dyDescent="0.25">
      <c r="A498" s="51">
        <f t="shared" si="50"/>
        <v>493</v>
      </c>
      <c r="B498" s="52"/>
      <c r="C498" s="53" t="str">
        <f t="shared" si="55"/>
        <v>1GGENCOELL</v>
      </c>
      <c r="D498" s="53"/>
      <c r="E498" s="54">
        <f>+'CALCULO TARIFAS CC '!$N$45</f>
        <v>0.91473772306697976</v>
      </c>
      <c r="F498" s="168">
        <f t="shared" si="56"/>
        <v>4.4355802547263263E-5</v>
      </c>
      <c r="G498" s="170">
        <f t="shared" si="54"/>
        <v>36.96</v>
      </c>
      <c r="H498" s="38" t="s">
        <v>297</v>
      </c>
      <c r="I498" s="347" t="s">
        <v>582</v>
      </c>
      <c r="J498" s="348">
        <v>4.4355802547263263E-5</v>
      </c>
      <c r="K498" s="27"/>
      <c r="L498" s="299"/>
      <c r="M498" s="316"/>
      <c r="N498" s="301"/>
      <c r="O498" s="301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224"/>
    </row>
    <row r="499" spans="1:27" ht="12.75" customHeight="1" x14ac:dyDescent="0.25">
      <c r="A499" s="51">
        <f t="shared" si="50"/>
        <v>494</v>
      </c>
      <c r="B499" s="52"/>
      <c r="C499" s="53" t="str">
        <f t="shared" si="55"/>
        <v>1GGENELEGE</v>
      </c>
      <c r="D499" s="53"/>
      <c r="E499" s="54">
        <f>+'CALCULO TARIFAS CC '!$N$45</f>
        <v>0.91473772306697976</v>
      </c>
      <c r="F499" s="168">
        <f t="shared" si="56"/>
        <v>1.6828995989952695E-5</v>
      </c>
      <c r="G499" s="170">
        <f t="shared" si="54"/>
        <v>14.02</v>
      </c>
      <c r="H499" s="38" t="s">
        <v>297</v>
      </c>
      <c r="I499" s="347" t="s">
        <v>246</v>
      </c>
      <c r="J499" s="348">
        <v>1.6828995989952695E-5</v>
      </c>
      <c r="K499" s="27"/>
      <c r="L499" s="299"/>
      <c r="M499" s="316"/>
      <c r="N499" s="301"/>
      <c r="O499" s="301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224"/>
    </row>
    <row r="500" spans="1:27" ht="12.75" customHeight="1" x14ac:dyDescent="0.25">
      <c r="A500" s="51">
        <f t="shared" si="50"/>
        <v>495</v>
      </c>
      <c r="B500" s="52"/>
      <c r="C500" s="53" t="str">
        <f t="shared" si="55"/>
        <v>1GGENEMGEE</v>
      </c>
      <c r="D500" s="53"/>
      <c r="E500" s="54">
        <f>+'CALCULO TARIFAS CC '!$N$45</f>
        <v>0.91473772306697976</v>
      </c>
      <c r="F500" s="168">
        <f t="shared" si="56"/>
        <v>7.5079978411002002E-2</v>
      </c>
      <c r="G500" s="170">
        <f t="shared" si="54"/>
        <v>62564.73</v>
      </c>
      <c r="H500" s="38" t="s">
        <v>297</v>
      </c>
      <c r="I500" s="347" t="s">
        <v>247</v>
      </c>
      <c r="J500" s="348">
        <v>7.5079978411002002E-2</v>
      </c>
      <c r="K500" s="27"/>
      <c r="L500" s="299"/>
      <c r="M500" s="316"/>
      <c r="N500" s="301"/>
      <c r="O500" s="301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224"/>
    </row>
    <row r="501" spans="1:27" ht="12.75" customHeight="1" x14ac:dyDescent="0.25">
      <c r="A501" s="51">
        <f t="shared" si="50"/>
        <v>496</v>
      </c>
      <c r="B501" s="52"/>
      <c r="C501" s="53" t="str">
        <f t="shared" si="55"/>
        <v>1GGENENDEO</v>
      </c>
      <c r="D501" s="53"/>
      <c r="E501" s="54">
        <f>+'CALCULO TARIFAS CC '!$N$45</f>
        <v>0.91473772306697976</v>
      </c>
      <c r="F501" s="168">
        <f t="shared" si="56"/>
        <v>1.6582011082968956E-5</v>
      </c>
      <c r="G501" s="170">
        <f t="shared" si="54"/>
        <v>13.82</v>
      </c>
      <c r="H501" s="38" t="s">
        <v>297</v>
      </c>
      <c r="I501" s="347" t="s">
        <v>248</v>
      </c>
      <c r="J501" s="348">
        <v>1.6582011082968956E-5</v>
      </c>
      <c r="K501" s="27"/>
      <c r="L501" s="299"/>
      <c r="M501" s="316"/>
      <c r="N501" s="301"/>
      <c r="O501" s="301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224"/>
    </row>
    <row r="502" spans="1:27" ht="12.75" customHeight="1" x14ac:dyDescent="0.25">
      <c r="A502" s="51">
        <f t="shared" si="50"/>
        <v>497</v>
      </c>
      <c r="B502" s="52"/>
      <c r="C502" s="53" t="str">
        <f t="shared" si="55"/>
        <v>1GGENENLIG</v>
      </c>
      <c r="D502" s="53"/>
      <c r="E502" s="54">
        <f>+'CALCULO TARIFAS CC '!$N$45</f>
        <v>0.91473772306697976</v>
      </c>
      <c r="F502" s="168">
        <f t="shared" si="56"/>
        <v>9.2973759483356086E-7</v>
      </c>
      <c r="G502" s="170">
        <f t="shared" si="54"/>
        <v>0.77</v>
      </c>
      <c r="H502" s="38" t="s">
        <v>297</v>
      </c>
      <c r="I502" s="347" t="s">
        <v>249</v>
      </c>
      <c r="J502" s="348">
        <v>9.2973759483356086E-7</v>
      </c>
      <c r="K502" s="27"/>
      <c r="L502" s="299"/>
      <c r="M502" s="316"/>
      <c r="N502" s="301"/>
      <c r="O502" s="301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224"/>
    </row>
    <row r="503" spans="1:27" ht="12.75" customHeight="1" x14ac:dyDescent="0.25">
      <c r="A503" s="51">
        <f t="shared" si="50"/>
        <v>498</v>
      </c>
      <c r="B503" s="52"/>
      <c r="C503" s="53" t="str">
        <f t="shared" si="55"/>
        <v>1GGENENSAJ</v>
      </c>
      <c r="D503" s="53"/>
      <c r="E503" s="54">
        <f>+'CALCULO TARIFAS CC '!$N$45</f>
        <v>0.91473772306697976</v>
      </c>
      <c r="F503" s="168">
        <f t="shared" si="56"/>
        <v>8.561712325398193E-4</v>
      </c>
      <c r="G503" s="170">
        <f t="shared" si="54"/>
        <v>713.45</v>
      </c>
      <c r="H503" s="38" t="s">
        <v>297</v>
      </c>
      <c r="I503" s="347" t="s">
        <v>710</v>
      </c>
      <c r="J503" s="348">
        <v>8.561712325398193E-4</v>
      </c>
      <c r="K503" s="27"/>
      <c r="L503" s="299"/>
      <c r="M503" s="316"/>
      <c r="N503" s="301"/>
      <c r="O503" s="301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224"/>
    </row>
    <row r="504" spans="1:27" ht="12.75" customHeight="1" x14ac:dyDescent="0.25">
      <c r="A504" s="51">
        <f t="shared" si="50"/>
        <v>499</v>
      </c>
      <c r="B504" s="52"/>
      <c r="C504" s="53" t="str">
        <f t="shared" si="55"/>
        <v>1GGENESAES</v>
      </c>
      <c r="D504" s="53"/>
      <c r="E504" s="54">
        <f>+'CALCULO TARIFAS CC '!$N$45</f>
        <v>0.91473772306697976</v>
      </c>
      <c r="F504" s="168">
        <f t="shared" si="56"/>
        <v>6.6213433210565359E-5</v>
      </c>
      <c r="G504" s="170">
        <f t="shared" si="54"/>
        <v>55.18</v>
      </c>
      <c r="H504" s="38" t="s">
        <v>297</v>
      </c>
      <c r="I504" s="347" t="s">
        <v>481</v>
      </c>
      <c r="J504" s="348">
        <v>6.6213433210565359E-5</v>
      </c>
      <c r="K504" s="27"/>
      <c r="L504" s="299"/>
      <c r="M504" s="316"/>
      <c r="N504" s="301"/>
      <c r="O504" s="301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224"/>
    </row>
    <row r="505" spans="1:27" ht="12.75" customHeight="1" x14ac:dyDescent="0.25">
      <c r="A505" s="51">
        <f t="shared" si="50"/>
        <v>500</v>
      </c>
      <c r="B505" s="52"/>
      <c r="C505" s="53" t="str">
        <f t="shared" si="55"/>
        <v>1GGENESIES</v>
      </c>
      <c r="D505" s="53"/>
      <c r="E505" s="54">
        <f>+'CALCULO TARIFAS CC '!$N$45</f>
        <v>0.91473772306697976</v>
      </c>
      <c r="F505" s="168">
        <f t="shared" si="56"/>
        <v>2.1781044721275335E-5</v>
      </c>
      <c r="G505" s="170">
        <f t="shared" si="54"/>
        <v>18.149999999999999</v>
      </c>
      <c r="H505" s="38" t="s">
        <v>297</v>
      </c>
      <c r="I505" s="347" t="s">
        <v>445</v>
      </c>
      <c r="J505" s="348">
        <v>2.1781044721275335E-5</v>
      </c>
      <c r="K505" s="27"/>
      <c r="L505" s="299"/>
      <c r="M505" s="316"/>
      <c r="N505" s="301"/>
      <c r="O505" s="301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224"/>
    </row>
    <row r="506" spans="1:27" ht="12.75" customHeight="1" x14ac:dyDescent="0.25">
      <c r="A506" s="51">
        <f t="shared" si="50"/>
        <v>501</v>
      </c>
      <c r="B506" s="52"/>
      <c r="C506" s="53" t="str">
        <f t="shared" si="55"/>
        <v>1GGENGEELN</v>
      </c>
      <c r="D506" s="53"/>
      <c r="E506" s="54">
        <f>+'CALCULO TARIFAS CC '!$N$45</f>
        <v>0.91473772306697976</v>
      </c>
      <c r="F506" s="168">
        <f t="shared" si="56"/>
        <v>8.7819744726297985E-5</v>
      </c>
      <c r="G506" s="170">
        <f t="shared" si="54"/>
        <v>73.180000000000007</v>
      </c>
      <c r="H506" s="38" t="s">
        <v>297</v>
      </c>
      <c r="I506" s="347" t="s">
        <v>250</v>
      </c>
      <c r="J506" s="348">
        <v>8.7819744726297985E-5</v>
      </c>
      <c r="K506" s="27"/>
      <c r="L506" s="299"/>
      <c r="M506" s="316"/>
      <c r="N506" s="301"/>
      <c r="O506" s="301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224"/>
    </row>
    <row r="507" spans="1:27" ht="12.75" customHeight="1" x14ac:dyDescent="0.25">
      <c r="A507" s="51">
        <f t="shared" si="50"/>
        <v>502</v>
      </c>
      <c r="B507" s="52"/>
      <c r="C507" s="53" t="str">
        <f t="shared" si="55"/>
        <v>1GGENGENAT</v>
      </c>
      <c r="D507" s="53"/>
      <c r="E507" s="54">
        <f>+'CALCULO TARIFAS CC '!$N$45</f>
        <v>0.91473772306697976</v>
      </c>
      <c r="F507" s="168">
        <f t="shared" si="56"/>
        <v>5.4933527276961458E-6</v>
      </c>
      <c r="G507" s="170">
        <f t="shared" si="54"/>
        <v>4.58</v>
      </c>
      <c r="H507" s="38" t="s">
        <v>297</v>
      </c>
      <c r="I507" s="347" t="s">
        <v>251</v>
      </c>
      <c r="J507" s="348">
        <v>5.4933527276961458E-6</v>
      </c>
      <c r="K507" s="27"/>
      <c r="L507" s="299"/>
      <c r="M507" s="316"/>
      <c r="N507" s="301"/>
      <c r="O507" s="301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224"/>
    </row>
    <row r="508" spans="1:27" ht="12.75" customHeight="1" x14ac:dyDescent="0.25">
      <c r="A508" s="51">
        <f t="shared" si="50"/>
        <v>503</v>
      </c>
      <c r="B508" s="52"/>
      <c r="C508" s="53" t="str">
        <f t="shared" si="55"/>
        <v>1GGENGENEP</v>
      </c>
      <c r="D508" s="53"/>
      <c r="E508" s="54">
        <f>+'CALCULO TARIFAS CC '!$N$45</f>
        <v>0.91473772306697976</v>
      </c>
      <c r="F508" s="168">
        <f t="shared" si="56"/>
        <v>1.0522644077493483E-6</v>
      </c>
      <c r="G508" s="170">
        <f t="shared" si="54"/>
        <v>0.88</v>
      </c>
      <c r="H508" s="38" t="s">
        <v>297</v>
      </c>
      <c r="I508" s="347" t="s">
        <v>370</v>
      </c>
      <c r="J508" s="348">
        <v>1.0522644077493483E-6</v>
      </c>
      <c r="K508" s="27"/>
      <c r="L508" s="299"/>
      <c r="M508" s="316"/>
      <c r="N508" s="301"/>
      <c r="O508" s="301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224"/>
    </row>
    <row r="509" spans="1:27" ht="12.75" customHeight="1" x14ac:dyDescent="0.25">
      <c r="A509" s="51">
        <f t="shared" si="50"/>
        <v>504</v>
      </c>
      <c r="B509" s="52"/>
      <c r="C509" s="53" t="str">
        <f t="shared" si="55"/>
        <v>1GGENGENES</v>
      </c>
      <c r="D509" s="53"/>
      <c r="E509" s="54">
        <f>+'CALCULO TARIFAS CC '!$N$45</f>
        <v>0.91473772306697976</v>
      </c>
      <c r="F509" s="168">
        <f t="shared" si="56"/>
        <v>9.9557196944350008E-4</v>
      </c>
      <c r="G509" s="170">
        <f t="shared" si="54"/>
        <v>829.62</v>
      </c>
      <c r="H509" s="38" t="s">
        <v>297</v>
      </c>
      <c r="I509" s="347" t="s">
        <v>252</v>
      </c>
      <c r="J509" s="348">
        <v>9.9557196944350008E-4</v>
      </c>
      <c r="K509" s="27"/>
      <c r="L509" s="299"/>
      <c r="M509" s="316"/>
      <c r="N509" s="301"/>
      <c r="O509" s="301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224"/>
    </row>
    <row r="510" spans="1:27" ht="12.75" customHeight="1" x14ac:dyDescent="0.25">
      <c r="A510" s="51">
        <f t="shared" si="50"/>
        <v>505</v>
      </c>
      <c r="B510" s="52"/>
      <c r="C510" s="53" t="str">
        <f t="shared" si="55"/>
        <v>1GGENGENOC</v>
      </c>
      <c r="D510" s="53"/>
      <c r="E510" s="54">
        <f>+'CALCULO TARIFAS CC '!$N$45</f>
        <v>0.91473772306697976</v>
      </c>
      <c r="F510" s="168">
        <f t="shared" si="56"/>
        <v>4.2647375512594517E-6</v>
      </c>
      <c r="G510" s="170">
        <f t="shared" si="54"/>
        <v>3.55</v>
      </c>
      <c r="H510" s="38" t="s">
        <v>297</v>
      </c>
      <c r="I510" s="347" t="s">
        <v>253</v>
      </c>
      <c r="J510" s="348">
        <v>4.2647375512594517E-6</v>
      </c>
      <c r="K510" s="27"/>
      <c r="L510" s="299"/>
      <c r="M510" s="316"/>
      <c r="N510" s="301"/>
      <c r="O510" s="301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224"/>
    </row>
    <row r="511" spans="1:27" ht="12.75" customHeight="1" x14ac:dyDescent="0.25">
      <c r="A511" s="51">
        <f t="shared" si="50"/>
        <v>506</v>
      </c>
      <c r="B511" s="52"/>
      <c r="C511" s="53" t="str">
        <f t="shared" si="55"/>
        <v>1GGENGRGEO</v>
      </c>
      <c r="D511" s="53"/>
      <c r="E511" s="54">
        <f>+'CALCULO TARIFAS CC '!$N$45</f>
        <v>0.91473772306697976</v>
      </c>
      <c r="F511" s="168">
        <f t="shared" si="56"/>
        <v>4.5956185297903159E-5</v>
      </c>
      <c r="G511" s="170">
        <f t="shared" si="54"/>
        <v>38.299999999999997</v>
      </c>
      <c r="H511" s="38" t="s">
        <v>297</v>
      </c>
      <c r="I511" s="347" t="s">
        <v>254</v>
      </c>
      <c r="J511" s="348">
        <v>4.5956185297903159E-5</v>
      </c>
      <c r="K511" s="27"/>
      <c r="L511" s="299"/>
      <c r="M511" s="316"/>
      <c r="N511" s="301"/>
      <c r="O511" s="301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224"/>
    </row>
    <row r="512" spans="1:27" ht="12.75" customHeight="1" x14ac:dyDescent="0.25">
      <c r="A512" s="51">
        <f t="shared" si="50"/>
        <v>507</v>
      </c>
      <c r="B512" s="52"/>
      <c r="C512" s="53" t="str">
        <f t="shared" si="55"/>
        <v>1GGENHIDCA</v>
      </c>
      <c r="D512" s="53"/>
      <c r="E512" s="54">
        <f>+'CALCULO TARIFAS CC '!$N$45</f>
        <v>0.91473772306697976</v>
      </c>
      <c r="F512" s="168">
        <f t="shared" si="56"/>
        <v>2.6819311205171944E-6</v>
      </c>
      <c r="G512" s="170">
        <f t="shared" ref="G512:G537" si="57">+ROUND(E512*F512*$F$553,2)</f>
        <v>2.23</v>
      </c>
      <c r="H512" s="38" t="s">
        <v>297</v>
      </c>
      <c r="I512" s="347" t="s">
        <v>509</v>
      </c>
      <c r="J512" s="348">
        <v>2.6819311205171944E-6</v>
      </c>
      <c r="K512" s="27"/>
      <c r="L512" s="299"/>
      <c r="M512" s="316"/>
      <c r="N512" s="301"/>
      <c r="O512" s="301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224"/>
    </row>
    <row r="513" spans="1:27" ht="12.75" customHeight="1" x14ac:dyDescent="0.25">
      <c r="A513" s="51">
        <f t="shared" si="50"/>
        <v>508</v>
      </c>
      <c r="B513" s="52"/>
      <c r="C513" s="53" t="str">
        <f t="shared" si="55"/>
        <v>1GGENHIDCO</v>
      </c>
      <c r="D513" s="53"/>
      <c r="E513" s="54">
        <f>+'CALCULO TARIFAS CC '!$N$45</f>
        <v>0.91473772306697976</v>
      </c>
      <c r="F513" s="168">
        <f t="shared" si="56"/>
        <v>1.5305688975432824E-5</v>
      </c>
      <c r="G513" s="170">
        <f t="shared" si="57"/>
        <v>12.75</v>
      </c>
      <c r="H513" s="38" t="s">
        <v>297</v>
      </c>
      <c r="I513" s="347" t="s">
        <v>255</v>
      </c>
      <c r="J513" s="348">
        <v>1.5305688975432824E-5</v>
      </c>
      <c r="K513" s="27"/>
      <c r="L513" s="299"/>
      <c r="M513" s="316"/>
      <c r="N513" s="301"/>
      <c r="O513" s="301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224"/>
    </row>
    <row r="514" spans="1:27" ht="12.75" customHeight="1" x14ac:dyDescent="0.25">
      <c r="A514" s="51">
        <f t="shared" si="50"/>
        <v>509</v>
      </c>
      <c r="B514" s="52"/>
      <c r="C514" s="53" t="str">
        <f t="shared" si="55"/>
        <v>1GGENHIDRA</v>
      </c>
      <c r="D514" s="53"/>
      <c r="E514" s="54">
        <f>+'CALCULO TARIFAS CC '!$N$45</f>
        <v>0.91473772306697976</v>
      </c>
      <c r="F514" s="168">
        <f t="shared" si="56"/>
        <v>1.6251756430598873E-7</v>
      </c>
      <c r="G514" s="170">
        <f t="shared" si="57"/>
        <v>0.14000000000000001</v>
      </c>
      <c r="H514" s="38" t="s">
        <v>297</v>
      </c>
      <c r="I514" s="347" t="s">
        <v>559</v>
      </c>
      <c r="J514" s="348">
        <v>1.6251756430598873E-7</v>
      </c>
      <c r="K514" s="27"/>
      <c r="L514" s="299"/>
      <c r="M514" s="316"/>
      <c r="N514" s="301"/>
      <c r="O514" s="301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224"/>
    </row>
    <row r="515" spans="1:27" ht="12.75" customHeight="1" x14ac:dyDescent="0.25">
      <c r="A515" s="51">
        <f t="shared" si="50"/>
        <v>510</v>
      </c>
      <c r="B515" s="52"/>
      <c r="C515" s="53" t="str">
        <f t="shared" si="55"/>
        <v>1GGENHIHIJ</v>
      </c>
      <c r="D515" s="53"/>
      <c r="E515" s="54">
        <f>+'CALCULO TARIFAS CC '!$N$45</f>
        <v>0.91473772306697976</v>
      </c>
      <c r="F515" s="168">
        <f t="shared" si="56"/>
        <v>6.1860847884620228E-6</v>
      </c>
      <c r="G515" s="170">
        <f t="shared" si="57"/>
        <v>5.15</v>
      </c>
      <c r="H515" s="38" t="s">
        <v>297</v>
      </c>
      <c r="I515" s="347" t="s">
        <v>256</v>
      </c>
      <c r="J515" s="348">
        <v>6.1860847884620228E-6</v>
      </c>
      <c r="K515" s="27"/>
      <c r="L515" s="299"/>
      <c r="M515" s="316"/>
      <c r="N515" s="301"/>
      <c r="O515" s="301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224"/>
    </row>
    <row r="516" spans="1:27" ht="12.75" customHeight="1" x14ac:dyDescent="0.25">
      <c r="A516" s="51">
        <f t="shared" si="50"/>
        <v>511</v>
      </c>
      <c r="B516" s="52"/>
      <c r="C516" s="53" t="str">
        <f t="shared" si="55"/>
        <v>1GGENHIVIA</v>
      </c>
      <c r="D516" s="53"/>
      <c r="E516" s="54">
        <f>+'CALCULO TARIFAS CC '!$N$45</f>
        <v>0.91473772306697976</v>
      </c>
      <c r="F516" s="168">
        <f t="shared" si="56"/>
        <v>1.7773315225810139E-6</v>
      </c>
      <c r="G516" s="170">
        <f t="shared" si="57"/>
        <v>1.48</v>
      </c>
      <c r="H516" s="38" t="s">
        <v>297</v>
      </c>
      <c r="I516" s="347" t="s">
        <v>257</v>
      </c>
      <c r="J516" s="348">
        <v>1.7773315225810139E-6</v>
      </c>
      <c r="K516" s="27"/>
      <c r="L516" s="299"/>
      <c r="M516" s="316"/>
      <c r="N516" s="301"/>
      <c r="O516" s="301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224"/>
    </row>
    <row r="517" spans="1:27" ht="12.75" customHeight="1" x14ac:dyDescent="0.25">
      <c r="A517" s="51">
        <f t="shared" si="50"/>
        <v>512</v>
      </c>
      <c r="B517" s="52"/>
      <c r="C517" s="53" t="str">
        <f t="shared" si="55"/>
        <v>1GGENHIXAC</v>
      </c>
      <c r="D517" s="53"/>
      <c r="E517" s="54">
        <f>+'CALCULO TARIFAS CC '!$N$45</f>
        <v>0.91473772306697976</v>
      </c>
      <c r="F517" s="168">
        <f t="shared" si="56"/>
        <v>2.1359132448580043E-4</v>
      </c>
      <c r="G517" s="170">
        <f t="shared" si="57"/>
        <v>177.99</v>
      </c>
      <c r="H517" s="38" t="s">
        <v>297</v>
      </c>
      <c r="I517" s="347" t="s">
        <v>258</v>
      </c>
      <c r="J517" s="348">
        <v>2.1359132448580043E-4</v>
      </c>
      <c r="K517" s="27"/>
      <c r="L517" s="299"/>
      <c r="M517" s="316"/>
      <c r="N517" s="301"/>
      <c r="O517" s="301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224"/>
    </row>
    <row r="518" spans="1:27" ht="12.75" customHeight="1" x14ac:dyDescent="0.25">
      <c r="A518" s="51">
        <f t="shared" si="50"/>
        <v>513</v>
      </c>
      <c r="B518" s="52"/>
      <c r="C518" s="53" t="str">
        <f t="shared" si="55"/>
        <v>1GGENINGMA</v>
      </c>
      <c r="D518" s="53"/>
      <c r="E518" s="54">
        <f>+'CALCULO TARIFAS CC '!$N$45</f>
        <v>0.91473772306697976</v>
      </c>
      <c r="F518" s="168">
        <f t="shared" ref="F518:F552" si="58">J518</f>
        <v>2.0050343740833612E-3</v>
      </c>
      <c r="G518" s="170">
        <f t="shared" si="57"/>
        <v>1670.81</v>
      </c>
      <c r="H518" s="38" t="s">
        <v>297</v>
      </c>
      <c r="I518" s="347" t="s">
        <v>259</v>
      </c>
      <c r="J518" s="348">
        <v>2.0050343740833612E-3</v>
      </c>
      <c r="K518" s="27"/>
      <c r="L518" s="299"/>
      <c r="M518" s="316"/>
      <c r="N518" s="301"/>
      <c r="O518" s="301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224"/>
    </row>
    <row r="519" spans="1:27" ht="12.75" customHeight="1" x14ac:dyDescent="0.25">
      <c r="A519" s="51">
        <f t="shared" si="50"/>
        <v>514</v>
      </c>
      <c r="B519" s="52"/>
      <c r="C519" s="53" t="str">
        <f t="shared" si="55"/>
        <v>1GGENINGSD</v>
      </c>
      <c r="D519" s="53"/>
      <c r="E519" s="54">
        <f>+'CALCULO TARIFAS CC '!$N$45</f>
        <v>0.91473772306697976</v>
      </c>
      <c r="F519" s="168">
        <f t="shared" si="58"/>
        <v>3.9603188540538684E-5</v>
      </c>
      <c r="G519" s="170">
        <f t="shared" si="57"/>
        <v>33</v>
      </c>
      <c r="H519" s="38" t="s">
        <v>297</v>
      </c>
      <c r="I519" s="347" t="s">
        <v>510</v>
      </c>
      <c r="J519" s="348">
        <v>3.9603188540538684E-5</v>
      </c>
      <c r="K519" s="27"/>
      <c r="L519" s="299"/>
      <c r="M519" s="316"/>
      <c r="N519" s="301"/>
      <c r="O519" s="301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224"/>
    </row>
    <row r="520" spans="1:27" ht="12.75" customHeight="1" x14ac:dyDescent="0.25">
      <c r="A520" s="51">
        <f t="shared" si="50"/>
        <v>515</v>
      </c>
      <c r="B520" s="52"/>
      <c r="C520" s="53" t="str">
        <f t="shared" si="55"/>
        <v>1GGENINGUN</v>
      </c>
      <c r="D520" s="53"/>
      <c r="E520" s="54">
        <f>+'CALCULO TARIFAS CC '!$N$45</f>
        <v>0.91473772306697976</v>
      </c>
      <c r="F520" s="168">
        <f t="shared" si="58"/>
        <v>1.234557941805828E-3</v>
      </c>
      <c r="G520" s="170">
        <f t="shared" si="57"/>
        <v>1028.77</v>
      </c>
      <c r="H520" s="38" t="s">
        <v>297</v>
      </c>
      <c r="I520" s="347" t="s">
        <v>690</v>
      </c>
      <c r="J520" s="348">
        <v>1.234557941805828E-3</v>
      </c>
      <c r="K520" s="27"/>
      <c r="L520" s="299"/>
      <c r="M520" s="316"/>
      <c r="N520" s="301"/>
      <c r="O520" s="301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224"/>
    </row>
    <row r="521" spans="1:27" ht="12.75" customHeight="1" x14ac:dyDescent="0.25">
      <c r="A521" s="51">
        <f t="shared" si="50"/>
        <v>516</v>
      </c>
      <c r="B521" s="52"/>
      <c r="C521" s="53" t="str">
        <f t="shared" si="55"/>
        <v>1GGENINPAG</v>
      </c>
      <c r="D521" s="53"/>
      <c r="E521" s="54">
        <f>+'CALCULO TARIFAS CC '!$N$45</f>
        <v>0.91473772306697976</v>
      </c>
      <c r="F521" s="168">
        <f t="shared" si="58"/>
        <v>5.0681968834312811E-6</v>
      </c>
      <c r="G521" s="170">
        <f t="shared" si="57"/>
        <v>4.22</v>
      </c>
      <c r="H521" s="38" t="s">
        <v>297</v>
      </c>
      <c r="I521" s="347" t="s">
        <v>560</v>
      </c>
      <c r="J521" s="348">
        <v>5.0681968834312811E-6</v>
      </c>
      <c r="K521" s="27"/>
      <c r="L521" s="299"/>
      <c r="M521" s="316"/>
      <c r="N521" s="301"/>
      <c r="O521" s="301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224"/>
    </row>
    <row r="522" spans="1:27" ht="12.75" customHeight="1" x14ac:dyDescent="0.25">
      <c r="A522" s="51">
        <f t="shared" si="50"/>
        <v>517</v>
      </c>
      <c r="B522" s="52"/>
      <c r="C522" s="53" t="str">
        <f t="shared" si="55"/>
        <v>1GGENINVPA</v>
      </c>
      <c r="D522" s="53"/>
      <c r="E522" s="54">
        <f>+'CALCULO TARIFAS CC '!$N$45</f>
        <v>0.91473772306697976</v>
      </c>
      <c r="F522" s="168">
        <f t="shared" si="58"/>
        <v>1.4615836785452312E-5</v>
      </c>
      <c r="G522" s="170">
        <f t="shared" si="57"/>
        <v>12.18</v>
      </c>
      <c r="H522" s="38" t="s">
        <v>297</v>
      </c>
      <c r="I522" s="347" t="s">
        <v>511</v>
      </c>
      <c r="J522" s="348">
        <v>1.4615836785452312E-5</v>
      </c>
      <c r="K522" s="27"/>
      <c r="L522" s="299"/>
      <c r="M522" s="316"/>
      <c r="N522" s="301"/>
      <c r="O522" s="301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224"/>
    </row>
    <row r="523" spans="1:27" ht="12.75" customHeight="1" x14ac:dyDescent="0.25">
      <c r="A523" s="51">
        <f t="shared" si="50"/>
        <v>518</v>
      </c>
      <c r="B523" s="52"/>
      <c r="C523" s="53" t="str">
        <f t="shared" si="55"/>
        <v>1GGENLUFEG</v>
      </c>
      <c r="D523" s="53"/>
      <c r="E523" s="54">
        <f>+'CALCULO TARIFAS CC '!$N$45</f>
        <v>0.91473772306697976</v>
      </c>
      <c r="F523" s="168">
        <f t="shared" si="58"/>
        <v>1.3699315231602255E-4</v>
      </c>
      <c r="G523" s="170">
        <f t="shared" si="57"/>
        <v>114.16</v>
      </c>
      <c r="H523" s="38" t="s">
        <v>297</v>
      </c>
      <c r="I523" s="347" t="s">
        <v>260</v>
      </c>
      <c r="J523" s="348">
        <v>1.3699315231602255E-4</v>
      </c>
      <c r="K523" s="27"/>
      <c r="L523" s="299"/>
      <c r="M523" s="316"/>
      <c r="N523" s="301"/>
      <c r="O523" s="301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224"/>
    </row>
    <row r="524" spans="1:27" ht="12.75" customHeight="1" x14ac:dyDescent="0.25">
      <c r="A524" s="51">
        <f t="shared" si="50"/>
        <v>519</v>
      </c>
      <c r="B524" s="52"/>
      <c r="C524" s="53" t="str">
        <f t="shared" si="55"/>
        <v>1GGENOEGYC</v>
      </c>
      <c r="D524" s="53"/>
      <c r="E524" s="54">
        <f>+'CALCULO TARIFAS CC '!$N$45</f>
        <v>0.91473772306697976</v>
      </c>
      <c r="F524" s="168">
        <f t="shared" si="58"/>
        <v>8.2862244433550144E-4</v>
      </c>
      <c r="G524" s="170">
        <f t="shared" si="57"/>
        <v>690.5</v>
      </c>
      <c r="H524" s="38" t="s">
        <v>297</v>
      </c>
      <c r="I524" s="347" t="s">
        <v>261</v>
      </c>
      <c r="J524" s="348">
        <v>8.2862244433550144E-4</v>
      </c>
      <c r="K524" s="27"/>
      <c r="L524" s="299"/>
      <c r="M524" s="316"/>
      <c r="N524" s="301"/>
      <c r="O524" s="301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224"/>
    </row>
    <row r="525" spans="1:27" ht="12.75" customHeight="1" x14ac:dyDescent="0.25">
      <c r="A525" s="51">
        <f t="shared" si="50"/>
        <v>520</v>
      </c>
      <c r="B525" s="52"/>
      <c r="C525" s="53" t="str">
        <f t="shared" si="55"/>
        <v>1GGENOXECO</v>
      </c>
      <c r="D525" s="53"/>
      <c r="E525" s="54">
        <f>+'CALCULO TARIFAS CC '!$N$45</f>
        <v>0.91473772306697976</v>
      </c>
      <c r="F525" s="168">
        <f t="shared" si="58"/>
        <v>3.5445033050642312E-5</v>
      </c>
      <c r="G525" s="170">
        <f t="shared" si="57"/>
        <v>29.54</v>
      </c>
      <c r="H525" s="38" t="s">
        <v>297</v>
      </c>
      <c r="I525" s="347" t="s">
        <v>262</v>
      </c>
      <c r="J525" s="348">
        <v>3.5445033050642312E-5</v>
      </c>
      <c r="K525" s="27"/>
      <c r="L525" s="299"/>
      <c r="M525" s="316"/>
      <c r="N525" s="301"/>
      <c r="O525" s="301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224"/>
    </row>
    <row r="526" spans="1:27" ht="12.75" customHeight="1" x14ac:dyDescent="0.25">
      <c r="A526" s="51">
        <f t="shared" si="50"/>
        <v>521</v>
      </c>
      <c r="B526" s="52"/>
      <c r="C526" s="53" t="str">
        <f t="shared" si="55"/>
        <v>1GGENOXEII</v>
      </c>
      <c r="D526" s="53"/>
      <c r="E526" s="54">
        <f>+'CALCULO TARIFAS CC '!$N$45</f>
        <v>0.91473772306697976</v>
      </c>
      <c r="F526" s="168">
        <f t="shared" si="58"/>
        <v>1.0321501472562314E-5</v>
      </c>
      <c r="G526" s="170">
        <f t="shared" si="57"/>
        <v>8.6</v>
      </c>
      <c r="H526" s="38" t="s">
        <v>297</v>
      </c>
      <c r="I526" s="347" t="s">
        <v>438</v>
      </c>
      <c r="J526" s="348">
        <v>1.0321501472562314E-5</v>
      </c>
      <c r="K526" s="27"/>
      <c r="L526" s="299"/>
      <c r="M526" s="316"/>
      <c r="N526" s="301"/>
      <c r="O526" s="301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224"/>
    </row>
    <row r="527" spans="1:27" ht="12.75" customHeight="1" x14ac:dyDescent="0.25">
      <c r="A527" s="51">
        <f t="shared" si="50"/>
        <v>522</v>
      </c>
      <c r="B527" s="52"/>
      <c r="C527" s="53" t="str">
        <f t="shared" si="55"/>
        <v>1GGENPANTA</v>
      </c>
      <c r="D527" s="53"/>
      <c r="E527" s="54">
        <f>+'CALCULO TARIFAS CC '!$N$45</f>
        <v>0.91473772306697976</v>
      </c>
      <c r="F527" s="168">
        <f t="shared" si="58"/>
        <v>3.8788501273312717E-8</v>
      </c>
      <c r="G527" s="170">
        <f t="shared" si="57"/>
        <v>0.03</v>
      </c>
      <c r="H527" s="38" t="s">
        <v>297</v>
      </c>
      <c r="I527" s="347" t="s">
        <v>711</v>
      </c>
      <c r="J527" s="348">
        <v>3.8788501273312717E-8</v>
      </c>
      <c r="K527" s="27"/>
      <c r="L527" s="299"/>
      <c r="M527" s="316"/>
      <c r="N527" s="301"/>
      <c r="O527" s="301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224"/>
    </row>
    <row r="528" spans="1:27" ht="12.75" customHeight="1" x14ac:dyDescent="0.25">
      <c r="A528" s="51">
        <f t="shared" si="50"/>
        <v>523</v>
      </c>
      <c r="B528" s="52"/>
      <c r="C528" s="53" t="str">
        <f t="shared" si="55"/>
        <v>1GGENPAPEL</v>
      </c>
      <c r="D528" s="53"/>
      <c r="E528" s="54">
        <f>+'CALCULO TARIFAS CC '!$N$45</f>
        <v>0.91473772306697976</v>
      </c>
      <c r="F528" s="168">
        <f t="shared" si="58"/>
        <v>9.0707277102713514E-6</v>
      </c>
      <c r="G528" s="170">
        <f t="shared" si="57"/>
        <v>7.56</v>
      </c>
      <c r="H528" s="38" t="s">
        <v>297</v>
      </c>
      <c r="I528" s="347" t="s">
        <v>263</v>
      </c>
      <c r="J528" s="348">
        <v>9.0707277102713514E-6</v>
      </c>
      <c r="K528" s="27"/>
      <c r="L528" s="299"/>
      <c r="M528" s="316"/>
      <c r="N528" s="301"/>
      <c r="O528" s="301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224"/>
    </row>
    <row r="529" spans="1:27" s="276" customFormat="1" ht="12.75" customHeight="1" x14ac:dyDescent="0.25">
      <c r="A529" s="51">
        <f t="shared" si="50"/>
        <v>524</v>
      </c>
      <c r="B529" s="52"/>
      <c r="C529" s="53" t="str">
        <f t="shared" si="55"/>
        <v>1GGENPUQPL</v>
      </c>
      <c r="D529" s="53"/>
      <c r="E529" s="54">
        <f>+'CALCULO TARIFAS CC '!$N$45</f>
        <v>0.91473772306697976</v>
      </c>
      <c r="F529" s="168">
        <f t="shared" si="58"/>
        <v>3.3968013252495848E-4</v>
      </c>
      <c r="G529" s="170">
        <f t="shared" si="57"/>
        <v>283.06</v>
      </c>
      <c r="H529" s="38" t="s">
        <v>297</v>
      </c>
      <c r="I529" s="347" t="s">
        <v>264</v>
      </c>
      <c r="J529" s="348">
        <v>3.3968013252495848E-4</v>
      </c>
      <c r="K529" s="27"/>
      <c r="L529" s="299"/>
      <c r="M529" s="316"/>
      <c r="N529" s="301"/>
      <c r="O529" s="301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224"/>
    </row>
    <row r="530" spans="1:27" s="276" customFormat="1" ht="12.75" customHeight="1" x14ac:dyDescent="0.25">
      <c r="A530" s="51">
        <f t="shared" si="50"/>
        <v>525</v>
      </c>
      <c r="B530" s="52"/>
      <c r="C530" s="53" t="str">
        <f t="shared" si="55"/>
        <v>1GGENRENGU</v>
      </c>
      <c r="D530" s="53"/>
      <c r="E530" s="54">
        <f>+'CALCULO TARIFAS CC '!$N$45</f>
        <v>0.91473772306697976</v>
      </c>
      <c r="F530" s="168">
        <f t="shared" si="58"/>
        <v>1.1911758194357112E-4</v>
      </c>
      <c r="G530" s="170">
        <f t="shared" si="57"/>
        <v>99.26</v>
      </c>
      <c r="H530" s="38" t="s">
        <v>297</v>
      </c>
      <c r="I530" s="347" t="s">
        <v>265</v>
      </c>
      <c r="J530" s="348">
        <v>1.1911758194357112E-4</v>
      </c>
      <c r="K530" s="27"/>
      <c r="L530" s="299"/>
      <c r="M530" s="316"/>
      <c r="N530" s="301"/>
      <c r="O530" s="301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224"/>
    </row>
    <row r="531" spans="1:27" s="276" customFormat="1" ht="12.75" customHeight="1" x14ac:dyDescent="0.25">
      <c r="A531" s="51">
        <f t="shared" si="50"/>
        <v>526</v>
      </c>
      <c r="B531" s="52"/>
      <c r="C531" s="53" t="str">
        <f t="shared" si="55"/>
        <v>1GGENRNACE</v>
      </c>
      <c r="D531" s="53"/>
      <c r="E531" s="54">
        <f>+'CALCULO TARIFAS CC '!$N$45</f>
        <v>0.91473772306697976</v>
      </c>
      <c r="F531" s="168">
        <f t="shared" si="58"/>
        <v>9.6478009916379695E-5</v>
      </c>
      <c r="G531" s="170">
        <f t="shared" si="57"/>
        <v>80.400000000000006</v>
      </c>
      <c r="H531" s="38" t="s">
        <v>297</v>
      </c>
      <c r="I531" s="347" t="s">
        <v>266</v>
      </c>
      <c r="J531" s="348">
        <v>9.6478009916379695E-5</v>
      </c>
      <c r="K531" s="27"/>
      <c r="L531" s="299"/>
      <c r="M531" s="316"/>
      <c r="N531" s="301"/>
      <c r="O531" s="301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224"/>
    </row>
    <row r="532" spans="1:27" ht="12.75" customHeight="1" x14ac:dyDescent="0.25">
      <c r="A532" s="51">
        <f t="shared" si="50"/>
        <v>527</v>
      </c>
      <c r="B532" s="52"/>
      <c r="C532" s="53" t="str">
        <f t="shared" si="55"/>
        <v>1GGENSERCM</v>
      </c>
      <c r="D532" s="53"/>
      <c r="E532" s="54">
        <f>+'CALCULO TARIFAS CC '!$N$45</f>
        <v>0.91473772306697976</v>
      </c>
      <c r="F532" s="168">
        <f t="shared" si="58"/>
        <v>1.3298431523837934E-4</v>
      </c>
      <c r="G532" s="170">
        <f t="shared" si="57"/>
        <v>110.82</v>
      </c>
      <c r="H532" s="38" t="s">
        <v>297</v>
      </c>
      <c r="I532" s="347" t="s">
        <v>267</v>
      </c>
      <c r="J532" s="348">
        <v>1.3298431523837934E-4</v>
      </c>
      <c r="K532" s="27"/>
      <c r="L532" s="299"/>
      <c r="M532" s="316"/>
      <c r="N532" s="301"/>
      <c r="O532" s="301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224"/>
    </row>
    <row r="533" spans="1:27" ht="12.75" customHeight="1" x14ac:dyDescent="0.25">
      <c r="A533" s="51">
        <f t="shared" si="50"/>
        <v>528</v>
      </c>
      <c r="B533" s="52"/>
      <c r="C533" s="53" t="str">
        <f t="shared" si="55"/>
        <v>1GGENTECNO</v>
      </c>
      <c r="D533" s="53"/>
      <c r="E533" s="54">
        <f>+'CALCULO TARIFAS CC '!$N$45</f>
        <v>0.91473772306697976</v>
      </c>
      <c r="F533" s="168">
        <f t="shared" si="58"/>
        <v>8.7138064502768492E-8</v>
      </c>
      <c r="G533" s="170">
        <f t="shared" si="57"/>
        <v>7.0000000000000007E-2</v>
      </c>
      <c r="H533" s="38" t="s">
        <v>297</v>
      </c>
      <c r="I533" s="347" t="s">
        <v>583</v>
      </c>
      <c r="J533" s="348">
        <v>8.7138064502768492E-8</v>
      </c>
      <c r="K533" s="27"/>
      <c r="L533" s="299"/>
      <c r="M533" s="316"/>
      <c r="N533" s="301"/>
      <c r="O533" s="301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224"/>
    </row>
    <row r="534" spans="1:27" ht="12.75" customHeight="1" x14ac:dyDescent="0.25">
      <c r="A534" s="51">
        <f t="shared" si="50"/>
        <v>529</v>
      </c>
      <c r="B534" s="52"/>
      <c r="C534" s="53" t="str">
        <f t="shared" si="55"/>
        <v>1GGENTERMI</v>
      </c>
      <c r="D534" s="53"/>
      <c r="E534" s="54">
        <f>+'CALCULO TARIFAS CC '!$N$45</f>
        <v>0.91473772306697976</v>
      </c>
      <c r="F534" s="168">
        <f t="shared" si="58"/>
        <v>1.0576102973251642E-4</v>
      </c>
      <c r="G534" s="170">
        <f t="shared" si="57"/>
        <v>88.13</v>
      </c>
      <c r="H534" s="38" t="s">
        <v>297</v>
      </c>
      <c r="I534" s="347" t="s">
        <v>268</v>
      </c>
      <c r="J534" s="348">
        <v>1.0576102973251642E-4</v>
      </c>
      <c r="K534" s="27"/>
      <c r="L534" s="299"/>
      <c r="M534" s="316"/>
      <c r="N534" s="301"/>
      <c r="O534" s="301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224"/>
    </row>
    <row r="535" spans="1:27" s="210" customFormat="1" ht="12.75" customHeight="1" x14ac:dyDescent="0.25">
      <c r="A535" s="51">
        <f>+A534+1</f>
        <v>530</v>
      </c>
      <c r="B535" s="52"/>
      <c r="C535" s="53" t="str">
        <f t="shared" si="55"/>
        <v>1GGENTRAEL</v>
      </c>
      <c r="D535" s="53"/>
      <c r="E535" s="54">
        <f>+'CALCULO TARIFAS CC '!$N$45</f>
        <v>0.91473772306697976</v>
      </c>
      <c r="F535" s="168">
        <f t="shared" si="58"/>
        <v>2.1735541660401161E-5</v>
      </c>
      <c r="G535" s="170">
        <f t="shared" si="57"/>
        <v>18.11</v>
      </c>
      <c r="H535" s="38" t="s">
        <v>297</v>
      </c>
      <c r="I535" s="347" t="s">
        <v>371</v>
      </c>
      <c r="J535" s="348">
        <v>2.1735541660401161E-5</v>
      </c>
      <c r="K535" s="27"/>
      <c r="L535" s="299"/>
      <c r="M535" s="316"/>
      <c r="N535" s="301"/>
      <c r="O535" s="301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224"/>
    </row>
    <row r="536" spans="1:27" s="334" customFormat="1" ht="12.75" customHeight="1" x14ac:dyDescent="0.25">
      <c r="A536" s="51">
        <f t="shared" ref="A536:A552" si="59">+A535+1</f>
        <v>531</v>
      </c>
      <c r="B536" s="52"/>
      <c r="C536" s="53" t="str">
        <f t="shared" si="55"/>
        <v>1GGENVIEBL</v>
      </c>
      <c r="D536" s="53"/>
      <c r="E536" s="54">
        <f>+'CALCULO TARIFAS CC '!$N$45</f>
        <v>0.91473772306697976</v>
      </c>
      <c r="F536" s="168">
        <f t="shared" si="58"/>
        <v>3.5476965031153997E-5</v>
      </c>
      <c r="G536" s="170">
        <f t="shared" si="57"/>
        <v>29.56</v>
      </c>
      <c r="H536" s="38" t="s">
        <v>297</v>
      </c>
      <c r="I536" s="347" t="s">
        <v>269</v>
      </c>
      <c r="J536" s="348">
        <v>3.5476965031153997E-5</v>
      </c>
      <c r="K536" s="27"/>
      <c r="L536" s="299"/>
      <c r="M536" s="316"/>
      <c r="N536" s="301"/>
      <c r="O536" s="301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224"/>
    </row>
    <row r="537" spans="1:27" s="334" customFormat="1" ht="12.75" customHeight="1" x14ac:dyDescent="0.25">
      <c r="A537" s="51">
        <f t="shared" si="59"/>
        <v>532</v>
      </c>
      <c r="B537" s="52"/>
      <c r="C537" s="53" t="str">
        <f t="shared" si="55"/>
        <v>1TTRAEMPRR</v>
      </c>
      <c r="D537" s="53"/>
      <c r="E537" s="54">
        <f>+'CALCULO TARIFAS CC '!$N$45</f>
        <v>0.91473772306697976</v>
      </c>
      <c r="F537" s="168">
        <f t="shared" si="58"/>
        <v>1.1563765930948817E-5</v>
      </c>
      <c r="G537" s="170">
        <f t="shared" si="57"/>
        <v>9.64</v>
      </c>
      <c r="H537" s="38" t="s">
        <v>297</v>
      </c>
      <c r="I537" s="347" t="s">
        <v>270</v>
      </c>
      <c r="J537" s="348">
        <v>1.1563765930948817E-5</v>
      </c>
      <c r="K537" s="27"/>
      <c r="L537" s="299"/>
      <c r="M537" s="316"/>
      <c r="N537" s="301"/>
      <c r="O537" s="301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224"/>
    </row>
    <row r="538" spans="1:27" s="334" customFormat="1" ht="12.75" customHeight="1" x14ac:dyDescent="0.25">
      <c r="A538" s="51">
        <f t="shared" si="59"/>
        <v>533</v>
      </c>
      <c r="B538" s="52"/>
      <c r="C538" s="53" t="str">
        <f t="shared" si="55"/>
        <v>1TTRAETCEE</v>
      </c>
      <c r="D538" s="53"/>
      <c r="E538" s="54">
        <f>+'CALCULO TARIFAS CC '!$N$45</f>
        <v>0.91473772306697976</v>
      </c>
      <c r="F538" s="168">
        <f t="shared" si="58"/>
        <v>4.3532652041495601E-4</v>
      </c>
      <c r="G538" s="170">
        <f t="shared" ref="G538:G552" si="60">+ROUND(E538*F538*$F$553,2)</f>
        <v>362.76</v>
      </c>
      <c r="H538" s="38" t="s">
        <v>297</v>
      </c>
      <c r="I538" s="347" t="s">
        <v>271</v>
      </c>
      <c r="J538" s="348">
        <v>4.3532652041495601E-4</v>
      </c>
      <c r="K538" s="27"/>
      <c r="L538" s="299"/>
      <c r="M538" s="316"/>
      <c r="N538" s="301"/>
      <c r="O538" s="301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224"/>
    </row>
    <row r="539" spans="1:27" s="210" customFormat="1" ht="12.75" customHeight="1" x14ac:dyDescent="0.25">
      <c r="A539" s="51">
        <f t="shared" si="59"/>
        <v>534</v>
      </c>
      <c r="B539" s="52"/>
      <c r="C539" s="53" t="str">
        <f t="shared" si="55"/>
        <v>1TTRATEEDN</v>
      </c>
      <c r="D539" s="53"/>
      <c r="E539" s="54">
        <f>+'CALCULO TARIFAS CC '!$N$45</f>
        <v>0.91473772306697976</v>
      </c>
      <c r="F539" s="168">
        <f t="shared" si="58"/>
        <v>2.2251658482054618E-4</v>
      </c>
      <c r="G539" s="170">
        <f t="shared" si="60"/>
        <v>185.42</v>
      </c>
      <c r="H539" s="38" t="s">
        <v>297</v>
      </c>
      <c r="I539" s="347" t="s">
        <v>512</v>
      </c>
      <c r="J539" s="348">
        <v>2.2251658482054618E-4</v>
      </c>
      <c r="K539" s="27"/>
      <c r="L539" s="299"/>
      <c r="M539" s="316"/>
      <c r="N539" s="301"/>
      <c r="O539" s="301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224"/>
    </row>
    <row r="540" spans="1:27" s="210" customFormat="1" ht="12.75" customHeight="1" x14ac:dyDescent="0.25">
      <c r="A540" s="51">
        <f t="shared" si="59"/>
        <v>535</v>
      </c>
      <c r="B540" s="52"/>
      <c r="C540" s="53" t="str">
        <f t="shared" si="55"/>
        <v>1TTRATRELC</v>
      </c>
      <c r="D540" s="53"/>
      <c r="E540" s="54">
        <f>+'CALCULO TARIFAS CC '!$N$45</f>
        <v>0.91473772306697976</v>
      </c>
      <c r="F540" s="168">
        <f t="shared" si="58"/>
        <v>4.0813310295620257E-4</v>
      </c>
      <c r="G540" s="170">
        <f t="shared" si="60"/>
        <v>340.1</v>
      </c>
      <c r="H540" s="38" t="s">
        <v>297</v>
      </c>
      <c r="I540" s="347" t="s">
        <v>272</v>
      </c>
      <c r="J540" s="348">
        <v>4.0813310295620257E-4</v>
      </c>
      <c r="K540" s="27"/>
      <c r="L540" s="299"/>
      <c r="M540" s="316"/>
      <c r="N540" s="301"/>
      <c r="O540" s="301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224"/>
    </row>
    <row r="541" spans="1:27" ht="12.75" customHeight="1" x14ac:dyDescent="0.25">
      <c r="A541" s="51">
        <f t="shared" si="59"/>
        <v>536</v>
      </c>
      <c r="B541" s="52"/>
      <c r="C541" s="53" t="str">
        <f t="shared" si="55"/>
        <v>1TTRATRENC</v>
      </c>
      <c r="D541" s="53"/>
      <c r="E541" s="54">
        <f>+'CALCULO TARIFAS CC '!$N$45</f>
        <v>0.91473772306697976</v>
      </c>
      <c r="F541" s="168">
        <f t="shared" si="58"/>
        <v>1.1311751831193894E-4</v>
      </c>
      <c r="G541" s="170">
        <f t="shared" si="60"/>
        <v>94.26</v>
      </c>
      <c r="H541" s="38" t="s">
        <v>297</v>
      </c>
      <c r="I541" s="347" t="s">
        <v>461</v>
      </c>
      <c r="J541" s="348">
        <v>1.1311751831193894E-4</v>
      </c>
      <c r="K541" s="27"/>
      <c r="L541" s="299"/>
      <c r="M541" s="316"/>
      <c r="N541" s="301"/>
      <c r="O541" s="301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224"/>
    </row>
    <row r="542" spans="1:27" ht="12.75" customHeight="1" x14ac:dyDescent="0.25">
      <c r="A542" s="51">
        <f t="shared" si="59"/>
        <v>537</v>
      </c>
      <c r="B542" s="52"/>
      <c r="C542" s="53" t="str">
        <f t="shared" si="55"/>
        <v>1TTRATRENR</v>
      </c>
      <c r="D542" s="53"/>
      <c r="E542" s="54">
        <f>+'CALCULO TARIFAS CC '!$N$45</f>
        <v>0.91473772306697976</v>
      </c>
      <c r="F542" s="168">
        <f t="shared" si="58"/>
        <v>1.2747278404649537E-5</v>
      </c>
      <c r="G542" s="170">
        <f t="shared" si="60"/>
        <v>10.62</v>
      </c>
      <c r="H542" s="38" t="s">
        <v>297</v>
      </c>
      <c r="I542" s="347" t="s">
        <v>561</v>
      </c>
      <c r="J542" s="348">
        <v>1.2747278404649537E-5</v>
      </c>
      <c r="K542" s="27"/>
      <c r="L542" s="299"/>
      <c r="M542" s="316"/>
      <c r="N542" s="301"/>
      <c r="O542" s="301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224"/>
    </row>
    <row r="543" spans="1:27" ht="12.75" customHeight="1" x14ac:dyDescent="0.25">
      <c r="A543" s="51">
        <f t="shared" si="59"/>
        <v>538</v>
      </c>
      <c r="B543" s="52"/>
      <c r="C543" s="53" t="str">
        <f t="shared" si="55"/>
        <v>1UGUSAGJIC</v>
      </c>
      <c r="D543" s="53"/>
      <c r="E543" s="54">
        <f>+'CALCULO TARIFAS CC '!$N$45</f>
        <v>0.91473772306697976</v>
      </c>
      <c r="F543" s="168">
        <f t="shared" si="58"/>
        <v>1.0142185276082792E-4</v>
      </c>
      <c r="G543" s="170">
        <f t="shared" si="60"/>
        <v>84.52</v>
      </c>
      <c r="H543" s="38" t="s">
        <v>297</v>
      </c>
      <c r="I543" s="347" t="s">
        <v>273</v>
      </c>
      <c r="J543" s="348">
        <v>1.0142185276082792E-4</v>
      </c>
      <c r="K543" s="27"/>
      <c r="L543" s="299"/>
      <c r="M543" s="316"/>
      <c r="N543" s="301"/>
      <c r="O543" s="301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224"/>
    </row>
    <row r="544" spans="1:27" s="278" customFormat="1" ht="12.75" customHeight="1" x14ac:dyDescent="0.25">
      <c r="A544" s="51">
        <f t="shared" si="59"/>
        <v>539</v>
      </c>
      <c r="B544" s="52"/>
      <c r="C544" s="53" t="str">
        <f t="shared" si="55"/>
        <v>1UGUSDARSA</v>
      </c>
      <c r="D544" s="53"/>
      <c r="E544" s="54">
        <f>+'CALCULO TARIFAS CC '!$N$45</f>
        <v>0.91473772306697976</v>
      </c>
      <c r="F544" s="168">
        <f t="shared" si="58"/>
        <v>2.8838313751634415E-5</v>
      </c>
      <c r="G544" s="170">
        <f t="shared" si="60"/>
        <v>24.03</v>
      </c>
      <c r="H544" s="38" t="s">
        <v>297</v>
      </c>
      <c r="I544" s="347" t="s">
        <v>439</v>
      </c>
      <c r="J544" s="348">
        <v>2.8838313751634415E-5</v>
      </c>
      <c r="K544" s="27"/>
      <c r="L544" s="299"/>
      <c r="M544" s="316"/>
      <c r="N544" s="301"/>
      <c r="O544" s="301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224"/>
    </row>
    <row r="545" spans="1:27" s="216" customFormat="1" ht="12.75" customHeight="1" x14ac:dyDescent="0.25">
      <c r="A545" s="51">
        <f t="shared" si="59"/>
        <v>540</v>
      </c>
      <c r="B545" s="52"/>
      <c r="C545" s="53" t="str">
        <f t="shared" si="55"/>
        <v>1UGUSEMGEE</v>
      </c>
      <c r="D545" s="53"/>
      <c r="E545" s="54">
        <f>+'CALCULO TARIFAS CC '!$N$45</f>
        <v>0.91473772306697976</v>
      </c>
      <c r="F545" s="168">
        <f t="shared" si="58"/>
        <v>1.5749284077252792E-4</v>
      </c>
      <c r="G545" s="170">
        <f t="shared" si="60"/>
        <v>131.24</v>
      </c>
      <c r="H545" s="38" t="s">
        <v>297</v>
      </c>
      <c r="I545" s="347" t="s">
        <v>274</v>
      </c>
      <c r="J545" s="348">
        <v>1.5749284077252792E-4</v>
      </c>
      <c r="K545" s="27"/>
      <c r="L545" s="299"/>
      <c r="M545" s="316"/>
      <c r="N545" s="301"/>
      <c r="O545" s="301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224"/>
    </row>
    <row r="546" spans="1:27" s="345" customFormat="1" ht="12.75" customHeight="1" x14ac:dyDescent="0.25">
      <c r="A546" s="51">
        <f t="shared" si="59"/>
        <v>541</v>
      </c>
      <c r="B546" s="52"/>
      <c r="C546" s="53" t="str">
        <f t="shared" si="55"/>
        <v>1UGUSENRSW</v>
      </c>
      <c r="D546" s="53"/>
      <c r="E546" s="54">
        <f>+'CALCULO TARIFAS CC '!$N$45</f>
        <v>0.91473772306697976</v>
      </c>
      <c r="F546" s="168">
        <f t="shared" si="58"/>
        <v>9.8100295758207705E-5</v>
      </c>
      <c r="G546" s="170">
        <f t="shared" si="60"/>
        <v>81.75</v>
      </c>
      <c r="H546" s="38" t="s">
        <v>297</v>
      </c>
      <c r="I546" s="347" t="s">
        <v>374</v>
      </c>
      <c r="J546" s="348">
        <v>9.8100295758207705E-5</v>
      </c>
      <c r="K546" s="27"/>
      <c r="L546" s="299"/>
      <c r="M546" s="316"/>
      <c r="N546" s="301"/>
      <c r="O546" s="301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224"/>
    </row>
    <row r="547" spans="1:27" s="345" customFormat="1" ht="12.75" customHeight="1" x14ac:dyDescent="0.25">
      <c r="A547" s="51">
        <f t="shared" si="59"/>
        <v>542</v>
      </c>
      <c r="B547" s="52"/>
      <c r="C547" s="53" t="str">
        <f t="shared" si="55"/>
        <v>1UGUSENTRI</v>
      </c>
      <c r="D547" s="53"/>
      <c r="E547" s="54">
        <f>+'CALCULO TARIFAS CC '!$N$45</f>
        <v>0.91473772306697976</v>
      </c>
      <c r="F547" s="168">
        <f t="shared" si="58"/>
        <v>1.592046184337392E-4</v>
      </c>
      <c r="G547" s="170">
        <f t="shared" si="60"/>
        <v>132.66999999999999</v>
      </c>
      <c r="H547" s="38" t="s">
        <v>297</v>
      </c>
      <c r="I547" s="347" t="s">
        <v>375</v>
      </c>
      <c r="J547" s="348">
        <v>1.592046184337392E-4</v>
      </c>
      <c r="K547" s="27"/>
      <c r="L547" s="299"/>
      <c r="M547" s="316"/>
      <c r="N547" s="301"/>
      <c r="O547" s="301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224"/>
    </row>
    <row r="548" spans="1:27" s="216" customFormat="1" ht="12.75" customHeight="1" x14ac:dyDescent="0.25">
      <c r="A548" s="51">
        <f t="shared" si="59"/>
        <v>543</v>
      </c>
      <c r="B548" s="52"/>
      <c r="C548" s="53" t="str">
        <f t="shared" si="55"/>
        <v>1UGUSGUAMO</v>
      </c>
      <c r="D548" s="53"/>
      <c r="E548" s="54">
        <f>+'CALCULO TARIFAS CC '!$N$45</f>
        <v>0.91473772306697976</v>
      </c>
      <c r="F548" s="168">
        <f t="shared" si="58"/>
        <v>4.8358619564813098E-4</v>
      </c>
      <c r="G548" s="170">
        <f t="shared" si="60"/>
        <v>402.98</v>
      </c>
      <c r="H548" s="38" t="s">
        <v>297</v>
      </c>
      <c r="I548" s="349" t="s">
        <v>275</v>
      </c>
      <c r="J548" s="348">
        <v>4.8358619564813098E-4</v>
      </c>
      <c r="K548" s="27"/>
      <c r="L548" s="299"/>
      <c r="M548" s="316"/>
      <c r="N548" s="301"/>
      <c r="O548" s="301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224"/>
    </row>
    <row r="549" spans="1:27" ht="12.75" customHeight="1" x14ac:dyDescent="0.25">
      <c r="A549" s="51">
        <f t="shared" si="59"/>
        <v>544</v>
      </c>
      <c r="B549" s="52"/>
      <c r="C549" s="53" t="str">
        <f t="shared" si="55"/>
        <v>1UGUSINGTU</v>
      </c>
      <c r="D549" s="53"/>
      <c r="E549" s="54">
        <f>+'CALCULO TARIFAS CC '!$N$45</f>
        <v>0.91473772306697976</v>
      </c>
      <c r="F549" s="168">
        <f t="shared" si="58"/>
        <v>1.7790248816870271E-3</v>
      </c>
      <c r="G549" s="170">
        <f t="shared" si="60"/>
        <v>1482.48</v>
      </c>
      <c r="H549" s="38" t="s">
        <v>297</v>
      </c>
      <c r="I549" s="349" t="s">
        <v>440</v>
      </c>
      <c r="J549" s="348">
        <v>1.7790248816870271E-3</v>
      </c>
      <c r="K549" s="27"/>
      <c r="L549" s="299"/>
      <c r="M549" s="316"/>
      <c r="N549" s="301"/>
      <c r="O549" s="301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224"/>
    </row>
    <row r="550" spans="1:27" ht="12.75" customHeight="1" x14ac:dyDescent="0.25">
      <c r="A550" s="51">
        <f t="shared" si="59"/>
        <v>545</v>
      </c>
      <c r="B550" s="52"/>
      <c r="C550" s="53" t="str">
        <f t="shared" si="55"/>
        <v>1UGUSINMRO</v>
      </c>
      <c r="D550" s="53"/>
      <c r="E550" s="54">
        <f>+'CALCULO TARIFAS CC '!$N$45</f>
        <v>0.91473772306697976</v>
      </c>
      <c r="F550" s="168">
        <f t="shared" si="58"/>
        <v>3.2991930556749716E-4</v>
      </c>
      <c r="G550" s="170">
        <f t="shared" si="60"/>
        <v>274.92</v>
      </c>
      <c r="H550" s="38" t="s">
        <v>297</v>
      </c>
      <c r="I550" s="349" t="s">
        <v>276</v>
      </c>
      <c r="J550" s="348">
        <v>3.2991930556749716E-4</v>
      </c>
      <c r="K550" s="27"/>
      <c r="L550" s="299"/>
      <c r="M550" s="316"/>
      <c r="N550" s="301"/>
      <c r="O550" s="301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224"/>
    </row>
    <row r="551" spans="1:27" s="313" customFormat="1" ht="12.75" customHeight="1" x14ac:dyDescent="0.25">
      <c r="A551" s="51">
        <f t="shared" si="59"/>
        <v>546</v>
      </c>
      <c r="B551" s="52"/>
      <c r="C551" s="53" t="str">
        <f t="shared" si="55"/>
        <v>1UGUSIRTRA</v>
      </c>
      <c r="D551" s="53"/>
      <c r="E551" s="54">
        <f>+'CALCULO TARIFAS CC '!$N$45</f>
        <v>0.91473772306697976</v>
      </c>
      <c r="F551" s="168">
        <f t="shared" si="58"/>
        <v>1.6867937624742181E-3</v>
      </c>
      <c r="G551" s="170">
        <f t="shared" si="60"/>
        <v>1405.62</v>
      </c>
      <c r="H551" s="38" t="s">
        <v>297</v>
      </c>
      <c r="I551" s="349" t="s">
        <v>277</v>
      </c>
      <c r="J551" s="348">
        <v>1.6867937624742181E-3</v>
      </c>
      <c r="K551" s="27"/>
      <c r="L551" s="299"/>
      <c r="M551" s="316"/>
      <c r="N551" s="301"/>
      <c r="O551" s="301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224"/>
    </row>
    <row r="552" spans="1:27" s="313" customFormat="1" ht="12.75" customHeight="1" thickBot="1" x14ac:dyDescent="0.3">
      <c r="A552" s="51">
        <f t="shared" si="59"/>
        <v>547</v>
      </c>
      <c r="B552" s="52"/>
      <c r="C552" s="53" t="str">
        <f t="shared" si="55"/>
        <v>1UGUSOEGYC</v>
      </c>
      <c r="D552" s="53"/>
      <c r="E552" s="54">
        <f>+'CALCULO TARIFAS CC '!$N$45</f>
        <v>0.91473772306697976</v>
      </c>
      <c r="F552" s="168">
        <f t="shared" si="58"/>
        <v>1.1309539805158853E-5</v>
      </c>
      <c r="G552" s="170">
        <f t="shared" si="60"/>
        <v>9.42</v>
      </c>
      <c r="H552" s="38" t="s">
        <v>297</v>
      </c>
      <c r="I552" s="349" t="s">
        <v>278</v>
      </c>
      <c r="J552" s="348">
        <v>1.1309539805158853E-5</v>
      </c>
      <c r="K552" s="27"/>
      <c r="L552" s="299"/>
      <c r="M552" s="316"/>
      <c r="N552" s="301"/>
      <c r="O552" s="301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224"/>
    </row>
    <row r="553" spans="1:27" ht="12.75" customHeight="1" thickBot="1" x14ac:dyDescent="0.3">
      <c r="A553" s="101"/>
      <c r="B553" s="103"/>
      <c r="C553" s="103" t="s">
        <v>314</v>
      </c>
      <c r="D553" s="103"/>
      <c r="E553" s="103"/>
      <c r="F553" s="192">
        <v>910979.96299999999</v>
      </c>
      <c r="G553" s="107">
        <f>SUM(G427:G552)</f>
        <v>833307.7300000008</v>
      </c>
      <c r="H553" s="38"/>
      <c r="K553" s="39"/>
      <c r="L553" s="29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7" ht="12.75" customHeight="1" x14ac:dyDescent="0.25">
      <c r="A554" s="193"/>
      <c r="B554" s="39"/>
      <c r="C554" s="39"/>
      <c r="D554" s="39"/>
      <c r="E554" s="39"/>
      <c r="F554" s="194"/>
      <c r="G554" s="195"/>
      <c r="H554" s="38"/>
      <c r="K554" s="39"/>
      <c r="L554" s="27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7" ht="12.75" customHeight="1" thickBot="1" x14ac:dyDescent="0.3">
      <c r="A555" s="193"/>
      <c r="B555" s="39"/>
      <c r="C555" s="196" t="s">
        <v>338</v>
      </c>
      <c r="D555" s="196"/>
      <c r="E555" s="196"/>
      <c r="F555" s="197"/>
      <c r="G555" s="196"/>
      <c r="H555" s="38"/>
      <c r="K555" s="39"/>
      <c r="L555" s="27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7" ht="12.75" customHeight="1" thickBot="1" x14ac:dyDescent="0.3">
      <c r="A556" s="193"/>
      <c r="B556" s="39"/>
      <c r="C556" s="198" t="s">
        <v>280</v>
      </c>
      <c r="D556" s="199"/>
      <c r="E556" s="199" t="s">
        <v>339</v>
      </c>
      <c r="F556" s="200" t="s">
        <v>340</v>
      </c>
      <c r="G556" s="201" t="s">
        <v>341</v>
      </c>
      <c r="H556" s="38"/>
      <c r="I556" s="39"/>
      <c r="J556" s="39"/>
      <c r="K556" s="39"/>
      <c r="L556" s="27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7" ht="12.75" customHeight="1" x14ac:dyDescent="0.25">
      <c r="A557" s="193"/>
      <c r="B557" s="39"/>
      <c r="C557" s="241" t="s">
        <v>342</v>
      </c>
      <c r="D557" s="242"/>
      <c r="E557" s="243">
        <f>+'CALCULO TARIFAS CC '!N45</f>
        <v>0.91473772306697976</v>
      </c>
      <c r="F557" s="234">
        <f>+F553</f>
        <v>910979.96299999999</v>
      </c>
      <c r="G557" s="235">
        <f>+ROUND(G553,2)</f>
        <v>833307.73</v>
      </c>
      <c r="H557" s="202"/>
      <c r="I557" s="39"/>
      <c r="J557" s="225"/>
      <c r="K557" s="39"/>
      <c r="L557" s="287"/>
      <c r="M557" s="304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7" ht="12.75" customHeight="1" x14ac:dyDescent="0.25">
      <c r="A558" s="193"/>
      <c r="B558" s="39"/>
      <c r="C558" s="244" t="s">
        <v>343</v>
      </c>
      <c r="D558" s="245"/>
      <c r="E558" s="246">
        <f>+'CALCULO TARIFAS CC '!O45</f>
        <v>2.7365639740417844</v>
      </c>
      <c r="F558" s="236">
        <f>+F426</f>
        <v>555765.22629999998</v>
      </c>
      <c r="G558" s="237">
        <f>+ROUND(G426,2)</f>
        <v>1520887.1</v>
      </c>
      <c r="H558" s="202"/>
      <c r="I558" s="39"/>
      <c r="J558" s="225"/>
      <c r="K558" s="39"/>
      <c r="L558" s="287"/>
      <c r="M558" s="304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7" ht="12.75" customHeight="1" x14ac:dyDescent="0.25">
      <c r="A559" s="193"/>
      <c r="B559" s="39"/>
      <c r="C559" s="244" t="s">
        <v>344</v>
      </c>
      <c r="D559" s="245"/>
      <c r="E559" s="246">
        <f>+'CALCULO TARIFAS CC '!P45</f>
        <v>0.72690115913440723</v>
      </c>
      <c r="F559" s="236">
        <f>+F383</f>
        <v>807127.36320000002</v>
      </c>
      <c r="G559" s="237">
        <f>+ROUND(G383,2)</f>
        <v>586701.81999999995</v>
      </c>
      <c r="H559" s="202"/>
      <c r="I559" s="39"/>
      <c r="J559" s="225"/>
      <c r="K559" s="39"/>
      <c r="L559" s="287"/>
      <c r="M559" s="304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7" ht="12.75" customHeight="1" x14ac:dyDescent="0.25">
      <c r="A560" s="193"/>
      <c r="B560" s="39"/>
      <c r="C560" s="244" t="s">
        <v>345</v>
      </c>
      <c r="D560" s="245"/>
      <c r="E560" s="246">
        <f>+'CALCULO TARIFAS CC '!Q45</f>
        <v>0.89458498473189119</v>
      </c>
      <c r="F560" s="236">
        <f>+F382</f>
        <v>367129.74099999998</v>
      </c>
      <c r="G560" s="237">
        <f>+ROUND(G382,2)</f>
        <v>328428.75</v>
      </c>
      <c r="H560" s="202"/>
      <c r="I560" s="39"/>
      <c r="J560" s="225"/>
      <c r="K560" s="39"/>
      <c r="L560" s="287"/>
      <c r="M560" s="304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 x14ac:dyDescent="0.25">
      <c r="A561" s="193"/>
      <c r="B561" s="39"/>
      <c r="C561" s="244" t="s">
        <v>346</v>
      </c>
      <c r="D561" s="245"/>
      <c r="E561" s="246">
        <f>+'CALCULO TARIFAS CC '!R45</f>
        <v>2.0388311271554831</v>
      </c>
      <c r="F561" s="236">
        <f>+F343</f>
        <v>773375.24</v>
      </c>
      <c r="G561" s="237">
        <f>+ROUND(G343,2)</f>
        <v>1576781.51</v>
      </c>
      <c r="H561" s="202"/>
      <c r="I561" s="39"/>
      <c r="J561" s="225"/>
      <c r="K561" s="39"/>
      <c r="L561" s="287"/>
      <c r="M561" s="304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 thickBot="1" x14ac:dyDescent="0.3">
      <c r="A562" s="193"/>
      <c r="B562" s="39"/>
      <c r="C562" s="247" t="s">
        <v>347</v>
      </c>
      <c r="D562" s="248"/>
      <c r="E562" s="249">
        <f>+'CALCULO TARIFAS CC '!S45</f>
        <v>0.98429977792344414</v>
      </c>
      <c r="F562" s="238">
        <f>+F342</f>
        <v>889429.81019999995</v>
      </c>
      <c r="G562" s="239">
        <f>+ROUND(G342,2)</f>
        <v>875465.57</v>
      </c>
      <c r="H562" s="202"/>
      <c r="I562" s="39"/>
      <c r="J562" s="225"/>
      <c r="K562" s="39"/>
      <c r="L562" s="287"/>
      <c r="M562" s="304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 thickBot="1" x14ac:dyDescent="0.3">
      <c r="A563" s="193"/>
      <c r="B563" s="39"/>
      <c r="C563" s="39"/>
      <c r="D563" s="39"/>
      <c r="E563" s="39"/>
      <c r="F563" s="240">
        <f t="shared" ref="F563:G563" si="61">SUM(F557:F562)</f>
        <v>4303807.3437000001</v>
      </c>
      <c r="G563" s="233">
        <f t="shared" si="61"/>
        <v>5721572.4800000004</v>
      </c>
      <c r="H563" s="38"/>
      <c r="I563" s="39"/>
      <c r="J563" s="225"/>
      <c r="K563" s="39"/>
      <c r="L563" s="287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 x14ac:dyDescent="0.25">
      <c r="A564" s="193"/>
      <c r="B564" s="39"/>
      <c r="C564" s="39"/>
      <c r="D564" s="39"/>
      <c r="E564" s="39"/>
      <c r="F564" s="194"/>
      <c r="G564" s="203"/>
      <c r="H564" s="38"/>
      <c r="I564" s="38"/>
      <c r="J564" s="225"/>
      <c r="K564" s="39"/>
      <c r="L564" s="27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 x14ac:dyDescent="0.25">
      <c r="A565" s="39"/>
      <c r="B565" s="39"/>
      <c r="C565" s="39"/>
      <c r="D565" s="39"/>
      <c r="E565" s="39"/>
      <c r="F565" s="194"/>
      <c r="G565" s="194"/>
      <c r="H565" s="38"/>
      <c r="I565" s="38"/>
      <c r="J565" s="226"/>
      <c r="K565" s="39"/>
      <c r="L565" s="27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 x14ac:dyDescent="0.25">
      <c r="A566" s="39"/>
      <c r="B566" s="39"/>
      <c r="C566" s="39"/>
      <c r="D566" s="39"/>
      <c r="E566" s="39"/>
      <c r="F566" s="194"/>
      <c r="G566" s="194"/>
      <c r="H566" s="38"/>
      <c r="I566" s="38"/>
      <c r="J566" s="38"/>
      <c r="K566" s="39"/>
      <c r="L566" s="27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 x14ac:dyDescent="0.25">
      <c r="A567" s="39"/>
      <c r="B567" s="39"/>
      <c r="C567" s="39"/>
      <c r="D567" s="39"/>
      <c r="E567" s="204"/>
      <c r="F567" s="205"/>
      <c r="G567" s="206"/>
      <c r="H567" s="38"/>
      <c r="I567" s="38"/>
      <c r="J567" s="38"/>
      <c r="K567" s="39"/>
      <c r="L567" s="27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 x14ac:dyDescent="0.25">
      <c r="A568" s="39"/>
      <c r="B568" s="39"/>
      <c r="C568" s="39"/>
      <c r="D568" s="39"/>
      <c r="E568" s="204"/>
      <c r="F568" s="194"/>
      <c r="G568" s="206"/>
      <c r="H568" s="38"/>
      <c r="I568" s="38"/>
      <c r="J568" s="38"/>
      <c r="K568" s="39"/>
      <c r="L568" s="27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 x14ac:dyDescent="0.25">
      <c r="A569" s="39"/>
      <c r="B569" s="39"/>
      <c r="C569" s="39"/>
      <c r="D569" s="39"/>
      <c r="E569" s="204"/>
      <c r="F569" s="194"/>
      <c r="G569" s="352"/>
      <c r="H569" s="38"/>
      <c r="I569" s="38"/>
      <c r="J569" s="38"/>
      <c r="K569" s="39"/>
      <c r="L569" s="27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 x14ac:dyDescent="0.25">
      <c r="A570" s="39"/>
      <c r="B570" s="39"/>
      <c r="C570" s="39"/>
      <c r="D570" s="39"/>
      <c r="E570" s="204"/>
      <c r="F570" s="194"/>
      <c r="G570" s="207"/>
      <c r="H570" s="319"/>
      <c r="I570" s="38"/>
      <c r="J570" s="38"/>
      <c r="K570" s="39"/>
      <c r="L570" s="27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 x14ac:dyDescent="0.25">
      <c r="A571" s="39"/>
      <c r="B571" s="39"/>
      <c r="C571" s="39"/>
      <c r="D571" s="39"/>
      <c r="E571" s="204"/>
      <c r="F571" s="194"/>
      <c r="G571" s="194"/>
      <c r="H571" s="38"/>
      <c r="I571" s="38"/>
      <c r="J571" s="38"/>
      <c r="K571" s="39"/>
      <c r="L571" s="27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 x14ac:dyDescent="0.25">
      <c r="A572" s="39"/>
      <c r="B572" s="39"/>
      <c r="C572" s="39"/>
      <c r="D572" s="39"/>
      <c r="E572" s="39"/>
      <c r="F572" s="194"/>
      <c r="G572" s="208"/>
      <c r="H572" s="38"/>
      <c r="I572" s="38"/>
      <c r="J572" s="38"/>
      <c r="K572" s="209"/>
      <c r="L572" s="27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 x14ac:dyDescent="0.25">
      <c r="A573" s="39"/>
      <c r="B573" s="39"/>
      <c r="C573" s="39"/>
      <c r="D573" s="39"/>
      <c r="E573" s="39"/>
      <c r="F573" s="194"/>
      <c r="G573" s="194"/>
      <c r="H573" s="38"/>
      <c r="I573" s="38"/>
      <c r="J573" s="38"/>
      <c r="K573" s="39"/>
      <c r="L573" s="27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 x14ac:dyDescent="0.25">
      <c r="A574" s="39"/>
      <c r="B574" s="39"/>
      <c r="C574" s="39"/>
      <c r="D574" s="39"/>
      <c r="E574" s="39"/>
      <c r="F574" s="194"/>
      <c r="G574" s="194"/>
      <c r="H574" s="38"/>
      <c r="I574" s="38"/>
      <c r="J574" s="38"/>
      <c r="K574" s="39"/>
      <c r="L574" s="27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 x14ac:dyDescent="0.25">
      <c r="A575" s="39"/>
      <c r="B575" s="39"/>
      <c r="C575" s="39"/>
      <c r="D575" s="39"/>
      <c r="E575" s="39"/>
      <c r="F575" s="194"/>
      <c r="G575" s="194"/>
      <c r="H575" s="38"/>
      <c r="I575" s="38"/>
      <c r="J575" s="38"/>
      <c r="K575" s="39"/>
      <c r="L575" s="27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 x14ac:dyDescent="0.25">
      <c r="A576" s="39"/>
      <c r="B576" s="39"/>
      <c r="C576" s="39"/>
      <c r="D576" s="39"/>
      <c r="E576" s="39"/>
      <c r="F576" s="194"/>
      <c r="G576" s="194"/>
      <c r="H576" s="38"/>
      <c r="I576" s="38"/>
      <c r="J576" s="38"/>
      <c r="K576" s="39"/>
      <c r="L576" s="27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 x14ac:dyDescent="0.25">
      <c r="A577" s="39"/>
      <c r="B577" s="39"/>
      <c r="C577" s="39"/>
      <c r="D577" s="39"/>
      <c r="E577" s="39"/>
      <c r="F577" s="194"/>
      <c r="G577" s="194"/>
      <c r="H577" s="38"/>
      <c r="I577" s="38"/>
      <c r="J577" s="38"/>
      <c r="K577" s="39"/>
      <c r="L577" s="27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 x14ac:dyDescent="0.25">
      <c r="A578" s="39"/>
      <c r="B578" s="39"/>
      <c r="C578" s="39"/>
      <c r="D578" s="39"/>
      <c r="E578" s="39"/>
      <c r="F578" s="194"/>
      <c r="G578" s="194"/>
      <c r="H578" s="38"/>
      <c r="I578" s="38"/>
      <c r="J578" s="38"/>
      <c r="K578" s="39"/>
      <c r="L578" s="27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 x14ac:dyDescent="0.25">
      <c r="A579" s="39"/>
      <c r="B579" s="39"/>
      <c r="C579" s="39"/>
      <c r="D579" s="39"/>
      <c r="E579" s="39"/>
      <c r="F579" s="194"/>
      <c r="G579" s="194"/>
      <c r="H579" s="38"/>
      <c r="I579" s="38"/>
      <c r="J579" s="38"/>
      <c r="K579" s="39"/>
      <c r="L579" s="27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 x14ac:dyDescent="0.25">
      <c r="A580" s="193"/>
      <c r="B580" s="39"/>
      <c r="C580" s="39"/>
      <c r="D580" s="39"/>
      <c r="E580" s="39"/>
      <c r="F580" s="194"/>
      <c r="G580" s="194"/>
      <c r="H580" s="38"/>
      <c r="I580" s="38"/>
      <c r="J580" s="38"/>
      <c r="K580" s="39"/>
      <c r="L580" s="27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 x14ac:dyDescent="0.25">
      <c r="A581" s="193"/>
      <c r="B581" s="39"/>
      <c r="C581" s="39"/>
      <c r="D581" s="39"/>
      <c r="E581" s="39"/>
      <c r="F581" s="194"/>
      <c r="G581" s="194"/>
      <c r="H581" s="38"/>
      <c r="I581" s="38"/>
      <c r="J581" s="38"/>
      <c r="K581" s="39"/>
      <c r="L581" s="27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 x14ac:dyDescent="0.25">
      <c r="A582" s="193"/>
      <c r="B582" s="39"/>
      <c r="C582" s="39"/>
      <c r="D582" s="39"/>
      <c r="E582" s="39"/>
      <c r="F582" s="39"/>
      <c r="G582" s="39"/>
      <c r="H582" s="38"/>
      <c r="I582" s="38"/>
      <c r="J582" s="38"/>
      <c r="K582" s="39"/>
      <c r="L582" s="27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 x14ac:dyDescent="0.25">
      <c r="A583" s="193"/>
      <c r="B583" s="39"/>
      <c r="C583" s="39"/>
      <c r="D583" s="39"/>
      <c r="E583" s="39"/>
      <c r="F583" s="194"/>
      <c r="G583" s="195"/>
      <c r="H583" s="38"/>
      <c r="I583" s="38"/>
      <c r="J583" s="38"/>
      <c r="K583" s="39"/>
      <c r="L583" s="27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 x14ac:dyDescent="0.25">
      <c r="A584" s="193"/>
      <c r="B584" s="39"/>
      <c r="C584" s="39"/>
      <c r="D584" s="39"/>
      <c r="E584" s="39"/>
      <c r="F584" s="194"/>
      <c r="G584" s="195"/>
      <c r="H584" s="38"/>
      <c r="I584" s="38"/>
      <c r="J584" s="38"/>
      <c r="K584" s="39"/>
      <c r="L584" s="27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 x14ac:dyDescent="0.25">
      <c r="A585" s="193"/>
      <c r="B585" s="39"/>
      <c r="C585" s="39"/>
      <c r="D585" s="39"/>
      <c r="E585" s="39"/>
      <c r="F585" s="194"/>
      <c r="G585" s="195"/>
      <c r="H585" s="38"/>
      <c r="I585" s="38"/>
      <c r="J585" s="38"/>
      <c r="K585" s="39"/>
      <c r="L585" s="27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 x14ac:dyDescent="0.25">
      <c r="A586" s="193"/>
      <c r="B586" s="39"/>
      <c r="C586" s="39"/>
      <c r="D586" s="39"/>
      <c r="E586" s="39"/>
      <c r="F586" s="194"/>
      <c r="G586" s="195"/>
      <c r="H586" s="38"/>
      <c r="I586" s="38"/>
      <c r="J586" s="38"/>
      <c r="K586" s="39"/>
      <c r="L586" s="27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 x14ac:dyDescent="0.25">
      <c r="A587" s="193"/>
      <c r="B587" s="39"/>
      <c r="C587" s="39"/>
      <c r="D587" s="39"/>
      <c r="E587" s="39"/>
      <c r="F587" s="194"/>
      <c r="G587" s="195"/>
      <c r="H587" s="38"/>
      <c r="I587" s="38"/>
      <c r="J587" s="38"/>
      <c r="K587" s="39"/>
      <c r="L587" s="27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 x14ac:dyDescent="0.25">
      <c r="A588" s="193"/>
      <c r="B588" s="39"/>
      <c r="C588" s="39"/>
      <c r="D588" s="39"/>
      <c r="E588" s="39"/>
      <c r="F588" s="194"/>
      <c r="G588" s="195"/>
      <c r="H588" s="38"/>
      <c r="I588" s="38"/>
      <c r="J588" s="38"/>
      <c r="K588" s="39"/>
      <c r="L588" s="27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 x14ac:dyDescent="0.25">
      <c r="A589" s="193"/>
      <c r="B589" s="39"/>
      <c r="C589" s="39"/>
      <c r="D589" s="39"/>
      <c r="E589" s="39"/>
      <c r="F589" s="194"/>
      <c r="G589" s="195"/>
      <c r="H589" s="38"/>
      <c r="I589" s="38"/>
      <c r="J589" s="38"/>
      <c r="K589" s="39"/>
      <c r="L589" s="27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 x14ac:dyDescent="0.25">
      <c r="A590" s="193"/>
      <c r="B590" s="39"/>
      <c r="C590" s="39"/>
      <c r="D590" s="39"/>
      <c r="E590" s="39"/>
      <c r="F590" s="194"/>
      <c r="G590" s="195"/>
      <c r="H590" s="38"/>
      <c r="I590" s="38"/>
      <c r="J590" s="38"/>
      <c r="K590" s="39"/>
      <c r="L590" s="27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 x14ac:dyDescent="0.25">
      <c r="A591" s="193"/>
      <c r="B591" s="39"/>
      <c r="C591" s="39"/>
      <c r="D591" s="39"/>
      <c r="E591" s="39"/>
      <c r="F591" s="194"/>
      <c r="G591" s="195"/>
      <c r="H591" s="38"/>
      <c r="I591" s="38"/>
      <c r="J591" s="38"/>
      <c r="K591" s="39"/>
      <c r="L591" s="27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 x14ac:dyDescent="0.25">
      <c r="A592" s="193"/>
      <c r="B592" s="39"/>
      <c r="C592" s="39"/>
      <c r="D592" s="39"/>
      <c r="E592" s="39"/>
      <c r="F592" s="194"/>
      <c r="G592" s="195"/>
      <c r="H592" s="38"/>
      <c r="I592" s="38"/>
      <c r="J592" s="38"/>
      <c r="K592" s="39"/>
      <c r="L592" s="27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 x14ac:dyDescent="0.25">
      <c r="A593" s="193"/>
      <c r="B593" s="39"/>
      <c r="C593" s="39"/>
      <c r="D593" s="39"/>
      <c r="E593" s="39"/>
      <c r="F593" s="194"/>
      <c r="G593" s="195"/>
      <c r="H593" s="38"/>
      <c r="I593" s="38"/>
      <c r="J593" s="38"/>
      <c r="K593" s="39"/>
      <c r="L593" s="27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 x14ac:dyDescent="0.25">
      <c r="A594" s="193"/>
      <c r="B594" s="39"/>
      <c r="C594" s="39"/>
      <c r="D594" s="39"/>
      <c r="E594" s="39"/>
      <c r="F594" s="194"/>
      <c r="G594" s="195"/>
      <c r="H594" s="38"/>
      <c r="I594" s="38"/>
      <c r="J594" s="38"/>
      <c r="K594" s="39"/>
      <c r="L594" s="27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 x14ac:dyDescent="0.25">
      <c r="A595" s="193"/>
      <c r="B595" s="39"/>
      <c r="C595" s="39"/>
      <c r="D595" s="39"/>
      <c r="E595" s="39"/>
      <c r="F595" s="194"/>
      <c r="G595" s="195"/>
      <c r="H595" s="38"/>
      <c r="I595" s="38"/>
      <c r="J595" s="38"/>
      <c r="K595" s="39"/>
      <c r="L595" s="27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 x14ac:dyDescent="0.25">
      <c r="A596" s="193"/>
      <c r="B596" s="39"/>
      <c r="C596" s="39"/>
      <c r="D596" s="39"/>
      <c r="E596" s="39"/>
      <c r="F596" s="194"/>
      <c r="G596" s="195"/>
      <c r="H596" s="38"/>
      <c r="I596" s="38"/>
      <c r="J596" s="38"/>
      <c r="K596" s="39"/>
      <c r="L596" s="27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 x14ac:dyDescent="0.25">
      <c r="A597" s="193"/>
      <c r="B597" s="39"/>
      <c r="C597" s="39"/>
      <c r="D597" s="39"/>
      <c r="E597" s="39"/>
      <c r="F597" s="194"/>
      <c r="G597" s="195"/>
      <c r="H597" s="38"/>
      <c r="I597" s="38"/>
      <c r="J597" s="38"/>
      <c r="K597" s="39"/>
      <c r="L597" s="27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 x14ac:dyDescent="0.25">
      <c r="A598" s="193"/>
      <c r="B598" s="39"/>
      <c r="C598" s="39"/>
      <c r="D598" s="39"/>
      <c r="E598" s="39"/>
      <c r="F598" s="194"/>
      <c r="G598" s="195"/>
      <c r="H598" s="38"/>
      <c r="I598" s="38"/>
      <c r="J598" s="38"/>
      <c r="K598" s="39"/>
      <c r="L598" s="27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 x14ac:dyDescent="0.25">
      <c r="A599" s="193"/>
      <c r="B599" s="39"/>
      <c r="C599" s="39"/>
      <c r="D599" s="39"/>
      <c r="E599" s="39"/>
      <c r="F599" s="194"/>
      <c r="G599" s="195"/>
      <c r="H599" s="38"/>
      <c r="I599" s="38"/>
      <c r="J599" s="38"/>
      <c r="K599" s="39"/>
      <c r="L599" s="27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 x14ac:dyDescent="0.25">
      <c r="A600" s="193"/>
      <c r="B600" s="39"/>
      <c r="C600" s="39"/>
      <c r="D600" s="39"/>
      <c r="E600" s="39"/>
      <c r="F600" s="194"/>
      <c r="G600" s="195"/>
      <c r="H600" s="38"/>
      <c r="I600" s="38"/>
      <c r="J600" s="38"/>
      <c r="K600" s="39"/>
      <c r="L600" s="27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 x14ac:dyDescent="0.25">
      <c r="A601" s="193"/>
      <c r="B601" s="39"/>
      <c r="C601" s="39"/>
      <c r="D601" s="39"/>
      <c r="E601" s="39"/>
      <c r="F601" s="194"/>
      <c r="G601" s="195"/>
      <c r="H601" s="38"/>
      <c r="I601" s="38"/>
      <c r="J601" s="38"/>
      <c r="K601" s="39"/>
      <c r="L601" s="27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 x14ac:dyDescent="0.25">
      <c r="A602" s="193"/>
      <c r="B602" s="39"/>
      <c r="C602" s="39"/>
      <c r="D602" s="39"/>
      <c r="E602" s="39"/>
      <c r="F602" s="194"/>
      <c r="G602" s="195"/>
      <c r="H602" s="38"/>
      <c r="I602" s="38"/>
      <c r="J602" s="38"/>
      <c r="K602" s="39"/>
      <c r="L602" s="27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 x14ac:dyDescent="0.25">
      <c r="A603" s="193"/>
      <c r="B603" s="39"/>
      <c r="C603" s="39"/>
      <c r="D603" s="39"/>
      <c r="E603" s="39"/>
      <c r="F603" s="194"/>
      <c r="G603" s="195"/>
      <c r="H603" s="38"/>
      <c r="I603" s="38"/>
      <c r="J603" s="38"/>
      <c r="K603" s="39"/>
      <c r="L603" s="27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 x14ac:dyDescent="0.25">
      <c r="A604" s="193"/>
      <c r="B604" s="39"/>
      <c r="C604" s="39"/>
      <c r="D604" s="39"/>
      <c r="E604" s="39"/>
      <c r="F604" s="194"/>
      <c r="G604" s="195"/>
      <c r="H604" s="38"/>
      <c r="I604" s="38"/>
      <c r="J604" s="38"/>
      <c r="K604" s="39"/>
      <c r="L604" s="27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 x14ac:dyDescent="0.25">
      <c r="A605" s="193"/>
      <c r="B605" s="39"/>
      <c r="C605" s="39"/>
      <c r="D605" s="39"/>
      <c r="E605" s="39"/>
      <c r="F605" s="194"/>
      <c r="G605" s="195"/>
      <c r="H605" s="38"/>
      <c r="I605" s="38"/>
      <c r="J605" s="38"/>
      <c r="K605" s="39"/>
      <c r="L605" s="27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 x14ac:dyDescent="0.25">
      <c r="A606" s="193"/>
      <c r="B606" s="39"/>
      <c r="C606" s="39"/>
      <c r="D606" s="39"/>
      <c r="E606" s="39"/>
      <c r="F606" s="194"/>
      <c r="G606" s="195"/>
      <c r="H606" s="38"/>
      <c r="I606" s="38"/>
      <c r="J606" s="38"/>
      <c r="K606" s="39"/>
      <c r="L606" s="27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 x14ac:dyDescent="0.25">
      <c r="A607" s="193"/>
      <c r="B607" s="39"/>
      <c r="C607" s="39"/>
      <c r="D607" s="39"/>
      <c r="E607" s="39"/>
      <c r="F607" s="194"/>
      <c r="G607" s="195"/>
      <c r="H607" s="38"/>
      <c r="I607" s="38"/>
      <c r="J607" s="38"/>
      <c r="K607" s="39"/>
      <c r="L607" s="27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 x14ac:dyDescent="0.25">
      <c r="A608" s="193"/>
      <c r="B608" s="39"/>
      <c r="C608" s="39"/>
      <c r="D608" s="39"/>
      <c r="E608" s="39"/>
      <c r="F608" s="194"/>
      <c r="G608" s="195"/>
      <c r="H608" s="38"/>
      <c r="I608" s="38"/>
      <c r="J608" s="38"/>
      <c r="K608" s="39"/>
      <c r="L608" s="27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 x14ac:dyDescent="0.25">
      <c r="A609" s="193"/>
      <c r="B609" s="39"/>
      <c r="C609" s="39"/>
      <c r="D609" s="39"/>
      <c r="E609" s="39"/>
      <c r="F609" s="194"/>
      <c r="G609" s="195"/>
      <c r="H609" s="38"/>
      <c r="I609" s="38"/>
      <c r="J609" s="38"/>
      <c r="K609" s="39"/>
      <c r="L609" s="27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 x14ac:dyDescent="0.25">
      <c r="A610" s="193"/>
      <c r="B610" s="39"/>
      <c r="C610" s="39"/>
      <c r="D610" s="39"/>
      <c r="E610" s="39"/>
      <c r="F610" s="194"/>
      <c r="G610" s="195"/>
      <c r="H610" s="38"/>
      <c r="I610" s="38"/>
      <c r="J610" s="38"/>
      <c r="K610" s="39"/>
      <c r="L610" s="27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 x14ac:dyDescent="0.25">
      <c r="A611" s="193"/>
      <c r="B611" s="39"/>
      <c r="C611" s="39"/>
      <c r="D611" s="39"/>
      <c r="E611" s="39"/>
      <c r="F611" s="194"/>
      <c r="G611" s="195"/>
      <c r="H611" s="38"/>
      <c r="I611" s="38"/>
      <c r="J611" s="38"/>
      <c r="K611" s="39"/>
      <c r="L611" s="27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 x14ac:dyDescent="0.25">
      <c r="A612" s="193"/>
      <c r="B612" s="39"/>
      <c r="C612" s="39"/>
      <c r="D612" s="39"/>
      <c r="E612" s="39"/>
      <c r="F612" s="194"/>
      <c r="G612" s="195"/>
      <c r="H612" s="38"/>
      <c r="I612" s="38"/>
      <c r="J612" s="38"/>
      <c r="K612" s="39"/>
      <c r="L612" s="27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 x14ac:dyDescent="0.25">
      <c r="A613" s="193"/>
      <c r="B613" s="39"/>
      <c r="C613" s="39"/>
      <c r="D613" s="39"/>
      <c r="E613" s="39"/>
      <c r="F613" s="194"/>
      <c r="G613" s="195"/>
      <c r="H613" s="38"/>
      <c r="I613" s="38"/>
      <c r="J613" s="38"/>
      <c r="K613" s="39"/>
      <c r="L613" s="27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 x14ac:dyDescent="0.25">
      <c r="A614" s="193"/>
      <c r="B614" s="39"/>
      <c r="C614" s="39"/>
      <c r="D614" s="39"/>
      <c r="E614" s="39"/>
      <c r="F614" s="194"/>
      <c r="G614" s="195"/>
      <c r="H614" s="38"/>
      <c r="I614" s="38"/>
      <c r="J614" s="38"/>
      <c r="K614" s="39"/>
      <c r="L614" s="27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 x14ac:dyDescent="0.25">
      <c r="A615" s="193"/>
      <c r="B615" s="39"/>
      <c r="C615" s="39"/>
      <c r="D615" s="39"/>
      <c r="E615" s="39"/>
      <c r="F615" s="194"/>
      <c r="G615" s="195"/>
      <c r="H615" s="38"/>
      <c r="I615" s="38"/>
      <c r="J615" s="38"/>
      <c r="K615" s="39"/>
      <c r="L615" s="27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 x14ac:dyDescent="0.25">
      <c r="A616" s="193"/>
      <c r="B616" s="39"/>
      <c r="C616" s="39"/>
      <c r="D616" s="39"/>
      <c r="E616" s="39"/>
      <c r="F616" s="194"/>
      <c r="G616" s="195"/>
      <c r="H616" s="38"/>
      <c r="I616" s="38"/>
      <c r="J616" s="38"/>
      <c r="K616" s="39"/>
      <c r="L616" s="27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 x14ac:dyDescent="0.25">
      <c r="A617" s="193"/>
      <c r="B617" s="39"/>
      <c r="C617" s="39"/>
      <c r="D617" s="39"/>
      <c r="E617" s="39"/>
      <c r="F617" s="194"/>
      <c r="G617" s="195"/>
      <c r="H617" s="38"/>
      <c r="I617" s="38"/>
      <c r="J617" s="38"/>
      <c r="K617" s="39"/>
      <c r="L617" s="27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 x14ac:dyDescent="0.25">
      <c r="A618" s="193"/>
      <c r="B618" s="39"/>
      <c r="C618" s="39"/>
      <c r="D618" s="39"/>
      <c r="E618" s="39"/>
      <c r="F618" s="194"/>
      <c r="G618" s="195"/>
      <c r="H618" s="38"/>
      <c r="I618" s="38"/>
      <c r="J618" s="38"/>
      <c r="K618" s="39"/>
      <c r="L618" s="27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 x14ac:dyDescent="0.25">
      <c r="A619" s="193"/>
      <c r="B619" s="39"/>
      <c r="C619" s="39"/>
      <c r="D619" s="39"/>
      <c r="E619" s="39"/>
      <c r="F619" s="194"/>
      <c r="G619" s="195"/>
      <c r="H619" s="38"/>
      <c r="I619" s="38"/>
      <c r="J619" s="38"/>
      <c r="K619" s="39"/>
      <c r="L619" s="27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 x14ac:dyDescent="0.25">
      <c r="A620" s="193"/>
      <c r="B620" s="39"/>
      <c r="C620" s="39"/>
      <c r="D620" s="39"/>
      <c r="E620" s="39"/>
      <c r="F620" s="194"/>
      <c r="G620" s="195"/>
      <c r="H620" s="38"/>
      <c r="I620" s="38"/>
      <c r="J620" s="38"/>
      <c r="K620" s="39"/>
      <c r="L620" s="27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 x14ac:dyDescent="0.25">
      <c r="A621" s="193"/>
      <c r="B621" s="39"/>
      <c r="C621" s="39"/>
      <c r="D621" s="39"/>
      <c r="E621" s="39"/>
      <c r="F621" s="194"/>
      <c r="G621" s="195"/>
      <c r="H621" s="38"/>
      <c r="I621" s="38"/>
      <c r="J621" s="38"/>
      <c r="K621" s="39"/>
      <c r="L621" s="27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 x14ac:dyDescent="0.25">
      <c r="A622" s="193"/>
      <c r="B622" s="39"/>
      <c r="C622" s="39"/>
      <c r="D622" s="39"/>
      <c r="E622" s="39"/>
      <c r="F622" s="194"/>
      <c r="G622" s="195"/>
      <c r="H622" s="38"/>
      <c r="I622" s="38"/>
      <c r="J622" s="38"/>
      <c r="K622" s="39"/>
      <c r="L622" s="27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 x14ac:dyDescent="0.25">
      <c r="A623" s="193"/>
      <c r="B623" s="39"/>
      <c r="C623" s="39"/>
      <c r="D623" s="39"/>
      <c r="E623" s="39"/>
      <c r="F623" s="194"/>
      <c r="G623" s="195"/>
      <c r="H623" s="38"/>
      <c r="I623" s="38"/>
      <c r="J623" s="38"/>
      <c r="K623" s="39"/>
      <c r="L623" s="27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 x14ac:dyDescent="0.25">
      <c r="A624" s="193"/>
      <c r="B624" s="39"/>
      <c r="C624" s="39"/>
      <c r="D624" s="39"/>
      <c r="E624" s="39"/>
      <c r="F624" s="194"/>
      <c r="G624" s="195"/>
      <c r="H624" s="38"/>
      <c r="I624" s="38"/>
      <c r="J624" s="38"/>
      <c r="K624" s="39"/>
      <c r="L624" s="27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 x14ac:dyDescent="0.25">
      <c r="A625" s="193"/>
      <c r="B625" s="39"/>
      <c r="C625" s="39"/>
      <c r="D625" s="39"/>
      <c r="E625" s="39"/>
      <c r="F625" s="194"/>
      <c r="G625" s="195"/>
      <c r="H625" s="38"/>
      <c r="I625" s="38"/>
      <c r="J625" s="38"/>
      <c r="K625" s="39"/>
      <c r="L625" s="27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 x14ac:dyDescent="0.25">
      <c r="A626" s="193"/>
      <c r="B626" s="39"/>
      <c r="C626" s="39"/>
      <c r="D626" s="39"/>
      <c r="E626" s="39"/>
      <c r="F626" s="194"/>
      <c r="G626" s="195"/>
      <c r="H626" s="38"/>
      <c r="I626" s="38"/>
      <c r="J626" s="38"/>
      <c r="K626" s="39"/>
      <c r="L626" s="27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 x14ac:dyDescent="0.25">
      <c r="A627" s="193"/>
      <c r="B627" s="39"/>
      <c r="C627" s="39"/>
      <c r="D627" s="39"/>
      <c r="E627" s="39"/>
      <c r="F627" s="194"/>
      <c r="G627" s="195"/>
      <c r="H627" s="38"/>
      <c r="I627" s="38"/>
      <c r="J627" s="38"/>
      <c r="K627" s="39"/>
      <c r="L627" s="27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 x14ac:dyDescent="0.25">
      <c r="A628" s="193"/>
      <c r="B628" s="39"/>
      <c r="C628" s="39"/>
      <c r="D628" s="39"/>
      <c r="E628" s="39"/>
      <c r="F628" s="194"/>
      <c r="G628" s="195"/>
      <c r="H628" s="38"/>
      <c r="I628" s="38"/>
      <c r="J628" s="38"/>
      <c r="K628" s="39"/>
      <c r="L628" s="27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 x14ac:dyDescent="0.25">
      <c r="A629" s="193"/>
      <c r="B629" s="39"/>
      <c r="C629" s="39"/>
      <c r="D629" s="39"/>
      <c r="E629" s="39"/>
      <c r="F629" s="194"/>
      <c r="G629" s="195"/>
      <c r="H629" s="38"/>
      <c r="I629" s="38"/>
      <c r="J629" s="38"/>
      <c r="K629" s="39"/>
      <c r="L629" s="27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 x14ac:dyDescent="0.25">
      <c r="A630" s="193"/>
      <c r="B630" s="39"/>
      <c r="C630" s="39"/>
      <c r="D630" s="39"/>
      <c r="E630" s="39"/>
      <c r="F630" s="194"/>
      <c r="G630" s="195"/>
      <c r="H630" s="38"/>
      <c r="I630" s="38"/>
      <c r="J630" s="38"/>
      <c r="K630" s="39"/>
      <c r="L630" s="27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 x14ac:dyDescent="0.25">
      <c r="A631" s="193"/>
      <c r="B631" s="39"/>
      <c r="C631" s="39"/>
      <c r="D631" s="39"/>
      <c r="E631" s="39"/>
      <c r="F631" s="194"/>
      <c r="G631" s="195"/>
      <c r="H631" s="38"/>
      <c r="I631" s="38"/>
      <c r="J631" s="38"/>
      <c r="K631" s="39"/>
      <c r="L631" s="27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 x14ac:dyDescent="0.25">
      <c r="A632" s="193"/>
      <c r="B632" s="39"/>
      <c r="C632" s="39"/>
      <c r="D632" s="39"/>
      <c r="E632" s="39"/>
      <c r="F632" s="194"/>
      <c r="G632" s="195"/>
      <c r="H632" s="38"/>
      <c r="I632" s="38"/>
      <c r="J632" s="38"/>
      <c r="K632" s="39"/>
      <c r="L632" s="27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 x14ac:dyDescent="0.25">
      <c r="A633" s="193"/>
      <c r="B633" s="39"/>
      <c r="C633" s="39"/>
      <c r="D633" s="39"/>
      <c r="E633" s="39"/>
      <c r="F633" s="194"/>
      <c r="G633" s="195"/>
      <c r="H633" s="38"/>
      <c r="I633" s="38"/>
      <c r="J633" s="38"/>
      <c r="K633" s="39"/>
      <c r="L633" s="27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 x14ac:dyDescent="0.25">
      <c r="A634" s="193"/>
      <c r="B634" s="39"/>
      <c r="C634" s="39"/>
      <c r="D634" s="39"/>
      <c r="E634" s="39"/>
      <c r="F634" s="194"/>
      <c r="G634" s="195"/>
      <c r="H634" s="38"/>
      <c r="I634" s="38"/>
      <c r="J634" s="38"/>
      <c r="K634" s="39"/>
      <c r="L634" s="27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 x14ac:dyDescent="0.25">
      <c r="A635" s="193"/>
      <c r="B635" s="39"/>
      <c r="C635" s="39"/>
      <c r="D635" s="39"/>
      <c r="E635" s="39"/>
      <c r="F635" s="194"/>
      <c r="G635" s="195"/>
      <c r="H635" s="38"/>
      <c r="I635" s="38"/>
      <c r="J635" s="38"/>
      <c r="K635" s="39"/>
      <c r="L635" s="27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 x14ac:dyDescent="0.25">
      <c r="A636" s="193"/>
      <c r="B636" s="39"/>
      <c r="C636" s="39"/>
      <c r="D636" s="39"/>
      <c r="E636" s="39"/>
      <c r="F636" s="194"/>
      <c r="G636" s="195"/>
      <c r="H636" s="38"/>
      <c r="I636" s="38"/>
      <c r="J636" s="38"/>
      <c r="K636" s="39"/>
      <c r="L636" s="27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 x14ac:dyDescent="0.25">
      <c r="A637" s="193"/>
      <c r="B637" s="39"/>
      <c r="C637" s="39"/>
      <c r="D637" s="39"/>
      <c r="E637" s="39"/>
      <c r="F637" s="194"/>
      <c r="G637" s="195"/>
      <c r="H637" s="38"/>
      <c r="I637" s="38"/>
      <c r="J637" s="38"/>
      <c r="K637" s="39"/>
      <c r="L637" s="27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 x14ac:dyDescent="0.25">
      <c r="A638" s="193"/>
      <c r="B638" s="39"/>
      <c r="C638" s="39"/>
      <c r="D638" s="39"/>
      <c r="E638" s="39"/>
      <c r="F638" s="194"/>
      <c r="G638" s="195"/>
      <c r="H638" s="38"/>
      <c r="I638" s="38"/>
      <c r="J638" s="38"/>
      <c r="K638" s="39"/>
      <c r="L638" s="27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 x14ac:dyDescent="0.25">
      <c r="A639" s="193"/>
      <c r="B639" s="39"/>
      <c r="C639" s="39"/>
      <c r="D639" s="39"/>
      <c r="E639" s="39"/>
      <c r="F639" s="194"/>
      <c r="G639" s="195"/>
      <c r="H639" s="38"/>
      <c r="I639" s="38"/>
      <c r="J639" s="38"/>
      <c r="K639" s="39"/>
      <c r="L639" s="27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 x14ac:dyDescent="0.25">
      <c r="A640" s="193"/>
      <c r="B640" s="39"/>
      <c r="C640" s="39"/>
      <c r="D640" s="39"/>
      <c r="E640" s="39"/>
      <c r="F640" s="194"/>
      <c r="G640" s="195"/>
      <c r="H640" s="38"/>
      <c r="I640" s="38"/>
      <c r="J640" s="38"/>
      <c r="K640" s="39"/>
      <c r="L640" s="27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 x14ac:dyDescent="0.25">
      <c r="A641" s="193"/>
      <c r="B641" s="39"/>
      <c r="C641" s="39"/>
      <c r="D641" s="39"/>
      <c r="E641" s="39"/>
      <c r="F641" s="194"/>
      <c r="G641" s="195"/>
      <c r="H641" s="38"/>
      <c r="I641" s="38"/>
      <c r="J641" s="38"/>
      <c r="K641" s="39"/>
      <c r="L641" s="27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 x14ac:dyDescent="0.25">
      <c r="A642" s="193"/>
      <c r="B642" s="39"/>
      <c r="C642" s="39"/>
      <c r="D642" s="39"/>
      <c r="E642" s="39"/>
      <c r="F642" s="194"/>
      <c r="G642" s="195"/>
      <c r="H642" s="38"/>
      <c r="I642" s="38"/>
      <c r="J642" s="38"/>
      <c r="K642" s="39"/>
      <c r="L642" s="27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 x14ac:dyDescent="0.25">
      <c r="A643" s="193"/>
      <c r="B643" s="39"/>
      <c r="C643" s="39"/>
      <c r="D643" s="39"/>
      <c r="E643" s="39"/>
      <c r="F643" s="194"/>
      <c r="G643" s="195"/>
      <c r="H643" s="38"/>
      <c r="I643" s="38"/>
      <c r="J643" s="38"/>
      <c r="K643" s="39"/>
      <c r="L643" s="27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 x14ac:dyDescent="0.25">
      <c r="A644" s="193"/>
      <c r="B644" s="39"/>
      <c r="C644" s="39"/>
      <c r="D644" s="39"/>
      <c r="E644" s="39"/>
      <c r="F644" s="194"/>
      <c r="G644" s="195"/>
      <c r="H644" s="38"/>
      <c r="I644" s="38"/>
      <c r="J644" s="38"/>
      <c r="K644" s="39"/>
      <c r="L644" s="27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 x14ac:dyDescent="0.25">
      <c r="A645" s="193"/>
      <c r="B645" s="39"/>
      <c r="C645" s="39"/>
      <c r="D645" s="39"/>
      <c r="E645" s="39"/>
      <c r="F645" s="194"/>
      <c r="G645" s="195"/>
      <c r="H645" s="38"/>
      <c r="I645" s="38"/>
      <c r="J645" s="38"/>
      <c r="K645" s="39"/>
      <c r="L645" s="27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 x14ac:dyDescent="0.25">
      <c r="A646" s="193"/>
      <c r="B646" s="39"/>
      <c r="C646" s="39"/>
      <c r="D646" s="39"/>
      <c r="E646" s="39"/>
      <c r="F646" s="194"/>
      <c r="G646" s="195"/>
      <c r="H646" s="38"/>
      <c r="I646" s="38"/>
      <c r="J646" s="38"/>
      <c r="K646" s="39"/>
      <c r="L646" s="27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 x14ac:dyDescent="0.25">
      <c r="A647" s="193"/>
      <c r="B647" s="39"/>
      <c r="C647" s="39"/>
      <c r="D647" s="39"/>
      <c r="E647" s="39"/>
      <c r="F647" s="194"/>
      <c r="G647" s="195"/>
      <c r="H647" s="38"/>
      <c r="I647" s="38"/>
      <c r="J647" s="38"/>
      <c r="K647" s="39"/>
      <c r="L647" s="27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 x14ac:dyDescent="0.25">
      <c r="A648" s="193"/>
      <c r="B648" s="39"/>
      <c r="C648" s="39"/>
      <c r="D648" s="39"/>
      <c r="E648" s="39"/>
      <c r="F648" s="194"/>
      <c r="G648" s="195"/>
      <c r="H648" s="38"/>
      <c r="I648" s="38"/>
      <c r="J648" s="38"/>
      <c r="K648" s="39"/>
      <c r="L648" s="27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 x14ac:dyDescent="0.25">
      <c r="A649" s="193"/>
      <c r="B649" s="39"/>
      <c r="C649" s="39"/>
      <c r="D649" s="39"/>
      <c r="E649" s="39"/>
      <c r="F649" s="194"/>
      <c r="G649" s="195"/>
      <c r="H649" s="38"/>
      <c r="I649" s="38"/>
      <c r="J649" s="38"/>
      <c r="K649" s="39"/>
      <c r="L649" s="27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 x14ac:dyDescent="0.25">
      <c r="A650" s="193"/>
      <c r="B650" s="39"/>
      <c r="C650" s="39"/>
      <c r="D650" s="39"/>
      <c r="E650" s="39"/>
      <c r="F650" s="194"/>
      <c r="G650" s="195"/>
      <c r="H650" s="38"/>
      <c r="I650" s="38"/>
      <c r="J650" s="38"/>
      <c r="K650" s="39"/>
      <c r="L650" s="27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 x14ac:dyDescent="0.25">
      <c r="A651" s="193"/>
      <c r="B651" s="39"/>
      <c r="C651" s="39"/>
      <c r="D651" s="39"/>
      <c r="E651" s="39"/>
      <c r="F651" s="194"/>
      <c r="G651" s="195"/>
      <c r="H651" s="38"/>
      <c r="I651" s="38"/>
      <c r="J651" s="38"/>
      <c r="K651" s="39"/>
      <c r="L651" s="27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 x14ac:dyDescent="0.25">
      <c r="A652" s="193"/>
      <c r="B652" s="39"/>
      <c r="C652" s="39"/>
      <c r="D652" s="39"/>
      <c r="E652" s="39"/>
      <c r="F652" s="194"/>
      <c r="G652" s="195"/>
      <c r="H652" s="38"/>
      <c r="I652" s="38"/>
      <c r="J652" s="38"/>
      <c r="K652" s="39"/>
      <c r="L652" s="27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 x14ac:dyDescent="0.25">
      <c r="A653" s="193"/>
      <c r="B653" s="39"/>
      <c r="C653" s="39"/>
      <c r="D653" s="39"/>
      <c r="E653" s="39"/>
      <c r="F653" s="194"/>
      <c r="G653" s="195"/>
      <c r="H653" s="38"/>
      <c r="I653" s="38"/>
      <c r="J653" s="38"/>
      <c r="K653" s="39"/>
      <c r="L653" s="27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 x14ac:dyDescent="0.25">
      <c r="A654" s="193"/>
      <c r="B654" s="39"/>
      <c r="C654" s="39"/>
      <c r="D654" s="39"/>
      <c r="E654" s="39"/>
      <c r="F654" s="194"/>
      <c r="G654" s="195"/>
      <c r="H654" s="38"/>
      <c r="I654" s="38"/>
      <c r="J654" s="38"/>
      <c r="K654" s="39"/>
      <c r="L654" s="27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 x14ac:dyDescent="0.25">
      <c r="A655" s="193"/>
      <c r="B655" s="39"/>
      <c r="C655" s="39"/>
      <c r="D655" s="39"/>
      <c r="E655" s="39"/>
      <c r="F655" s="194"/>
      <c r="G655" s="195"/>
      <c r="H655" s="38"/>
      <c r="I655" s="38"/>
      <c r="J655" s="38"/>
      <c r="K655" s="39"/>
      <c r="L655" s="27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 x14ac:dyDescent="0.25">
      <c r="A656" s="193"/>
      <c r="B656" s="39"/>
      <c r="C656" s="39"/>
      <c r="D656" s="39"/>
      <c r="E656" s="39"/>
      <c r="F656" s="194"/>
      <c r="G656" s="195"/>
      <c r="H656" s="38"/>
      <c r="I656" s="38"/>
      <c r="J656" s="38"/>
      <c r="K656" s="39"/>
      <c r="L656" s="27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 x14ac:dyDescent="0.25">
      <c r="A657" s="193"/>
      <c r="B657" s="39"/>
      <c r="C657" s="39"/>
      <c r="D657" s="39"/>
      <c r="E657" s="39"/>
      <c r="F657" s="194"/>
      <c r="G657" s="195"/>
      <c r="H657" s="38"/>
      <c r="I657" s="38"/>
      <c r="J657" s="38"/>
      <c r="K657" s="39"/>
      <c r="L657" s="27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 x14ac:dyDescent="0.25">
      <c r="A658" s="193"/>
      <c r="B658" s="39"/>
      <c r="C658" s="39"/>
      <c r="D658" s="39"/>
      <c r="E658" s="39"/>
      <c r="F658" s="194"/>
      <c r="G658" s="195"/>
      <c r="H658" s="38"/>
      <c r="I658" s="38"/>
      <c r="J658" s="38"/>
      <c r="K658" s="39"/>
      <c r="L658" s="27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 x14ac:dyDescent="0.25">
      <c r="A659" s="193"/>
      <c r="B659" s="39"/>
      <c r="C659" s="39"/>
      <c r="D659" s="39"/>
      <c r="E659" s="39"/>
      <c r="F659" s="194"/>
      <c r="G659" s="195"/>
      <c r="H659" s="38"/>
      <c r="I659" s="38"/>
      <c r="J659" s="38"/>
      <c r="K659" s="39"/>
      <c r="L659" s="27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 x14ac:dyDescent="0.25">
      <c r="A660" s="193"/>
      <c r="B660" s="39"/>
      <c r="C660" s="39"/>
      <c r="D660" s="39"/>
      <c r="E660" s="39"/>
      <c r="F660" s="194"/>
      <c r="G660" s="195"/>
      <c r="H660" s="38"/>
      <c r="I660" s="38"/>
      <c r="J660" s="38"/>
      <c r="K660" s="39"/>
      <c r="L660" s="27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 x14ac:dyDescent="0.25">
      <c r="A661" s="193"/>
      <c r="B661" s="39"/>
      <c r="C661" s="39"/>
      <c r="D661" s="39"/>
      <c r="E661" s="39"/>
      <c r="F661" s="194"/>
      <c r="G661" s="195"/>
      <c r="H661" s="38"/>
      <c r="I661" s="38"/>
      <c r="J661" s="38"/>
      <c r="K661" s="39"/>
      <c r="L661" s="27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 x14ac:dyDescent="0.25">
      <c r="A662" s="193"/>
      <c r="B662" s="39"/>
      <c r="C662" s="39"/>
      <c r="D662" s="39"/>
      <c r="E662" s="39"/>
      <c r="F662" s="194"/>
      <c r="G662" s="195"/>
      <c r="H662" s="38"/>
      <c r="I662" s="38"/>
      <c r="J662" s="38"/>
      <c r="K662" s="39"/>
      <c r="L662" s="27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 x14ac:dyDescent="0.25">
      <c r="A663" s="193"/>
      <c r="B663" s="39"/>
      <c r="C663" s="39"/>
      <c r="D663" s="39"/>
      <c r="E663" s="39"/>
      <c r="F663" s="194"/>
      <c r="G663" s="195"/>
      <c r="H663" s="38"/>
      <c r="I663" s="38"/>
      <c r="J663" s="38"/>
      <c r="K663" s="39"/>
      <c r="L663" s="27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 x14ac:dyDescent="0.25">
      <c r="A664" s="193"/>
      <c r="B664" s="39"/>
      <c r="C664" s="39"/>
      <c r="D664" s="39"/>
      <c r="E664" s="39"/>
      <c r="F664" s="194"/>
      <c r="G664" s="195"/>
      <c r="H664" s="38"/>
      <c r="I664" s="38"/>
      <c r="J664" s="38"/>
      <c r="K664" s="39"/>
      <c r="L664" s="27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 x14ac:dyDescent="0.25">
      <c r="A665" s="193"/>
      <c r="B665" s="39"/>
      <c r="C665" s="39"/>
      <c r="D665" s="39"/>
      <c r="E665" s="39"/>
      <c r="F665" s="194"/>
      <c r="G665" s="195"/>
      <c r="H665" s="38"/>
      <c r="I665" s="38"/>
      <c r="J665" s="38"/>
      <c r="K665" s="39"/>
      <c r="L665" s="27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 x14ac:dyDescent="0.25">
      <c r="A666" s="193"/>
      <c r="B666" s="39"/>
      <c r="C666" s="39"/>
      <c r="D666" s="39"/>
      <c r="E666" s="39"/>
      <c r="F666" s="194"/>
      <c r="G666" s="195"/>
      <c r="H666" s="38"/>
      <c r="I666" s="38"/>
      <c r="J666" s="38"/>
      <c r="K666" s="39"/>
      <c r="L666" s="27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 x14ac:dyDescent="0.25">
      <c r="A667" s="193"/>
      <c r="B667" s="39"/>
      <c r="C667" s="39"/>
      <c r="D667" s="39"/>
      <c r="E667" s="39"/>
      <c r="F667" s="194"/>
      <c r="G667" s="195"/>
      <c r="H667" s="38"/>
      <c r="I667" s="38"/>
      <c r="J667" s="38"/>
      <c r="K667" s="39"/>
      <c r="L667" s="27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 x14ac:dyDescent="0.25">
      <c r="A668" s="193"/>
      <c r="B668" s="39"/>
      <c r="C668" s="39"/>
      <c r="D668" s="39"/>
      <c r="E668" s="39"/>
      <c r="F668" s="194"/>
      <c r="G668" s="195"/>
      <c r="H668" s="38"/>
      <c r="I668" s="38"/>
      <c r="J668" s="38"/>
      <c r="K668" s="39"/>
      <c r="L668" s="27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 x14ac:dyDescent="0.25">
      <c r="A669" s="193"/>
      <c r="B669" s="39"/>
      <c r="C669" s="39"/>
      <c r="D669" s="39"/>
      <c r="E669" s="39"/>
      <c r="F669" s="194"/>
      <c r="G669" s="195"/>
      <c r="H669" s="38"/>
      <c r="I669" s="38"/>
      <c r="J669" s="38"/>
      <c r="K669" s="39"/>
      <c r="L669" s="27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 x14ac:dyDescent="0.25">
      <c r="A670" s="193"/>
      <c r="B670" s="39"/>
      <c r="C670" s="39"/>
      <c r="D670" s="39"/>
      <c r="E670" s="39"/>
      <c r="F670" s="194"/>
      <c r="G670" s="195"/>
      <c r="H670" s="38"/>
      <c r="I670" s="38"/>
      <c r="J670" s="38"/>
      <c r="K670" s="39"/>
      <c r="L670" s="27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 x14ac:dyDescent="0.25">
      <c r="A671" s="193"/>
      <c r="B671" s="39"/>
      <c r="C671" s="39"/>
      <c r="D671" s="39"/>
      <c r="E671" s="39"/>
      <c r="F671" s="194"/>
      <c r="G671" s="195"/>
      <c r="H671" s="38"/>
      <c r="I671" s="38"/>
      <c r="J671" s="38"/>
      <c r="K671" s="39"/>
      <c r="L671" s="27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 x14ac:dyDescent="0.25">
      <c r="A672" s="193"/>
      <c r="B672" s="39"/>
      <c r="C672" s="39"/>
      <c r="D672" s="39"/>
      <c r="E672" s="39"/>
      <c r="F672" s="194"/>
      <c r="G672" s="195"/>
      <c r="H672" s="38"/>
      <c r="I672" s="38"/>
      <c r="J672" s="38"/>
      <c r="K672" s="39"/>
      <c r="L672" s="27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 x14ac:dyDescent="0.25">
      <c r="A673" s="193"/>
      <c r="B673" s="39"/>
      <c r="C673" s="39"/>
      <c r="D673" s="39"/>
      <c r="E673" s="39"/>
      <c r="F673" s="194"/>
      <c r="G673" s="195"/>
      <c r="H673" s="38"/>
      <c r="I673" s="38"/>
      <c r="J673" s="38"/>
      <c r="K673" s="39"/>
      <c r="L673" s="27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 x14ac:dyDescent="0.25">
      <c r="A674" s="193"/>
      <c r="B674" s="39"/>
      <c r="C674" s="39"/>
      <c r="D674" s="39"/>
      <c r="E674" s="39"/>
      <c r="F674" s="194"/>
      <c r="G674" s="195"/>
      <c r="H674" s="38"/>
      <c r="I674" s="38"/>
      <c r="J674" s="38"/>
      <c r="K674" s="39"/>
      <c r="L674" s="27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 x14ac:dyDescent="0.25">
      <c r="A675" s="193"/>
      <c r="B675" s="39"/>
      <c r="C675" s="39"/>
      <c r="D675" s="39"/>
      <c r="E675" s="39"/>
      <c r="F675" s="194"/>
      <c r="G675" s="195"/>
      <c r="H675" s="38"/>
      <c r="I675" s="38"/>
      <c r="J675" s="38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 x14ac:dyDescent="0.25">
      <c r="A676" s="193"/>
      <c r="B676" s="39"/>
      <c r="C676" s="39"/>
      <c r="D676" s="39"/>
      <c r="E676" s="39"/>
      <c r="F676" s="194"/>
      <c r="G676" s="195"/>
      <c r="H676" s="38"/>
      <c r="I676" s="38"/>
      <c r="J676" s="38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 x14ac:dyDescent="0.25">
      <c r="A677" s="193"/>
      <c r="B677" s="39"/>
      <c r="C677" s="39"/>
      <c r="D677" s="39"/>
      <c r="E677" s="39"/>
      <c r="F677" s="194"/>
      <c r="G677" s="195"/>
      <c r="H677" s="38"/>
      <c r="I677" s="38"/>
      <c r="J677" s="38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 x14ac:dyDescent="0.25">
      <c r="A678" s="193"/>
      <c r="B678" s="39"/>
      <c r="C678" s="39"/>
      <c r="D678" s="39"/>
      <c r="E678" s="39"/>
      <c r="F678" s="194"/>
      <c r="G678" s="195"/>
      <c r="H678" s="38"/>
      <c r="I678" s="38"/>
      <c r="J678" s="38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 x14ac:dyDescent="0.25">
      <c r="A679" s="193"/>
      <c r="B679" s="39"/>
      <c r="C679" s="39"/>
      <c r="D679" s="39"/>
      <c r="E679" s="39"/>
      <c r="F679" s="194"/>
      <c r="G679" s="195"/>
      <c r="H679" s="38"/>
      <c r="I679" s="38"/>
      <c r="J679" s="38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 x14ac:dyDescent="0.25">
      <c r="A680" s="193"/>
      <c r="B680" s="39"/>
      <c r="C680" s="39"/>
      <c r="D680" s="39"/>
      <c r="E680" s="39"/>
      <c r="F680" s="194"/>
      <c r="G680" s="195"/>
      <c r="H680" s="38"/>
      <c r="I680" s="38"/>
      <c r="J680" s="38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 x14ac:dyDescent="0.25">
      <c r="A681" s="193"/>
      <c r="B681" s="39"/>
      <c r="C681" s="39"/>
      <c r="D681" s="39"/>
      <c r="E681" s="39"/>
      <c r="F681" s="194"/>
      <c r="G681" s="195"/>
      <c r="H681" s="38"/>
      <c r="I681" s="38"/>
      <c r="J681" s="38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 x14ac:dyDescent="0.25">
      <c r="A682" s="193"/>
      <c r="B682" s="39"/>
      <c r="C682" s="39"/>
      <c r="D682" s="39"/>
      <c r="E682" s="39"/>
      <c r="F682" s="194"/>
      <c r="G682" s="195"/>
      <c r="H682" s="38"/>
      <c r="I682" s="38"/>
      <c r="J682" s="38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 x14ac:dyDescent="0.25">
      <c r="A683" s="193"/>
      <c r="B683" s="39"/>
      <c r="C683" s="39"/>
      <c r="D683" s="39"/>
      <c r="E683" s="39"/>
      <c r="F683" s="194"/>
      <c r="G683" s="195"/>
      <c r="H683" s="38"/>
      <c r="I683" s="38"/>
      <c r="J683" s="38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 x14ac:dyDescent="0.25">
      <c r="A684" s="193"/>
      <c r="B684" s="39"/>
      <c r="C684" s="39"/>
      <c r="D684" s="39"/>
      <c r="E684" s="39"/>
      <c r="F684" s="194"/>
      <c r="G684" s="195"/>
      <c r="H684" s="38"/>
      <c r="I684" s="38"/>
      <c r="J684" s="38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 x14ac:dyDescent="0.25">
      <c r="A685" s="193"/>
      <c r="B685" s="39"/>
      <c r="C685" s="39"/>
      <c r="D685" s="39"/>
      <c r="E685" s="39"/>
      <c r="F685" s="194"/>
      <c r="G685" s="195"/>
      <c r="H685" s="38"/>
      <c r="I685" s="38"/>
      <c r="J685" s="38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 x14ac:dyDescent="0.25">
      <c r="A686" s="193"/>
      <c r="B686" s="39"/>
      <c r="C686" s="39"/>
      <c r="D686" s="39"/>
      <c r="E686" s="39"/>
      <c r="F686" s="194"/>
      <c r="G686" s="195"/>
      <c r="H686" s="38"/>
      <c r="I686" s="38"/>
      <c r="J686" s="38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 x14ac:dyDescent="0.25">
      <c r="A687" s="193"/>
      <c r="B687" s="39"/>
      <c r="C687" s="39"/>
      <c r="D687" s="39"/>
      <c r="E687" s="39"/>
      <c r="F687" s="194"/>
      <c r="G687" s="195"/>
      <c r="H687" s="38"/>
      <c r="I687" s="38"/>
      <c r="J687" s="38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 x14ac:dyDescent="0.25">
      <c r="A688" s="193"/>
      <c r="B688" s="39"/>
      <c r="C688" s="39"/>
      <c r="D688" s="39"/>
      <c r="E688" s="39"/>
      <c r="F688" s="194"/>
      <c r="G688" s="195"/>
      <c r="H688" s="38"/>
      <c r="I688" s="38"/>
      <c r="J688" s="38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 x14ac:dyDescent="0.25">
      <c r="A689" s="193"/>
      <c r="B689" s="39"/>
      <c r="C689" s="39"/>
      <c r="D689" s="39"/>
      <c r="E689" s="39"/>
      <c r="F689" s="194"/>
      <c r="G689" s="195"/>
      <c r="H689" s="38"/>
      <c r="I689" s="38"/>
      <c r="J689" s="38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 x14ac:dyDescent="0.25">
      <c r="A690" s="193"/>
      <c r="B690" s="39"/>
      <c r="C690" s="39"/>
      <c r="D690" s="39"/>
      <c r="E690" s="39"/>
      <c r="F690" s="194"/>
      <c r="G690" s="195"/>
      <c r="H690" s="38"/>
      <c r="I690" s="38"/>
      <c r="J690" s="38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 x14ac:dyDescent="0.25">
      <c r="A691" s="193"/>
      <c r="B691" s="39"/>
      <c r="C691" s="39"/>
      <c r="D691" s="39"/>
      <c r="E691" s="39"/>
      <c r="F691" s="194"/>
      <c r="G691" s="195"/>
      <c r="H691" s="38"/>
      <c r="I691" s="38"/>
      <c r="J691" s="38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 x14ac:dyDescent="0.25">
      <c r="A692" s="193"/>
      <c r="B692" s="39"/>
      <c r="C692" s="39"/>
      <c r="D692" s="39"/>
      <c r="E692" s="39"/>
      <c r="F692" s="194"/>
      <c r="G692" s="195"/>
      <c r="H692" s="38"/>
      <c r="I692" s="38"/>
      <c r="J692" s="38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 x14ac:dyDescent="0.25">
      <c r="A693" s="193"/>
      <c r="B693" s="39"/>
      <c r="C693" s="39"/>
      <c r="D693" s="39"/>
      <c r="E693" s="39"/>
      <c r="F693" s="194"/>
      <c r="G693" s="195"/>
      <c r="H693" s="38"/>
      <c r="I693" s="38"/>
      <c r="J693" s="38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 x14ac:dyDescent="0.25">
      <c r="A694" s="193"/>
      <c r="B694" s="39"/>
      <c r="C694" s="39"/>
      <c r="D694" s="39"/>
      <c r="E694" s="39"/>
      <c r="F694" s="194"/>
      <c r="G694" s="195"/>
      <c r="H694" s="38"/>
      <c r="I694" s="38"/>
      <c r="J694" s="38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 x14ac:dyDescent="0.25">
      <c r="A695" s="193"/>
      <c r="B695" s="39"/>
      <c r="C695" s="39"/>
      <c r="D695" s="39"/>
      <c r="E695" s="39"/>
      <c r="F695" s="194"/>
      <c r="G695" s="195"/>
      <c r="H695" s="38"/>
      <c r="I695" s="38"/>
      <c r="J695" s="38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 x14ac:dyDescent="0.25">
      <c r="A696" s="193"/>
      <c r="B696" s="39"/>
      <c r="C696" s="39"/>
      <c r="D696" s="39"/>
      <c r="E696" s="39"/>
      <c r="F696" s="194"/>
      <c r="G696" s="195"/>
      <c r="H696" s="38"/>
      <c r="I696" s="38"/>
      <c r="J696" s="38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 x14ac:dyDescent="0.25">
      <c r="A697" s="193"/>
      <c r="B697" s="39"/>
      <c r="C697" s="39"/>
      <c r="D697" s="39"/>
      <c r="E697" s="39"/>
      <c r="F697" s="194"/>
      <c r="G697" s="195"/>
      <c r="H697" s="38"/>
      <c r="I697" s="38"/>
      <c r="J697" s="38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 x14ac:dyDescent="0.25">
      <c r="A698" s="193"/>
      <c r="B698" s="39"/>
      <c r="C698" s="39"/>
      <c r="D698" s="39"/>
      <c r="E698" s="39"/>
      <c r="F698" s="194"/>
      <c r="G698" s="195"/>
      <c r="H698" s="38"/>
      <c r="I698" s="38"/>
      <c r="J698" s="38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 x14ac:dyDescent="0.25">
      <c r="A699" s="193"/>
      <c r="B699" s="39"/>
      <c r="C699" s="39"/>
      <c r="D699" s="39"/>
      <c r="E699" s="39"/>
      <c r="F699" s="194"/>
      <c r="G699" s="195"/>
      <c r="H699" s="38"/>
      <c r="I699" s="38"/>
      <c r="J699" s="38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 x14ac:dyDescent="0.25">
      <c r="A700" s="193"/>
      <c r="B700" s="39"/>
      <c r="C700" s="39"/>
      <c r="D700" s="39"/>
      <c r="E700" s="39"/>
      <c r="F700" s="194"/>
      <c r="G700" s="195"/>
      <c r="H700" s="38"/>
      <c r="I700" s="38"/>
      <c r="J700" s="38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 x14ac:dyDescent="0.25">
      <c r="A701" s="193"/>
      <c r="B701" s="39"/>
      <c r="C701" s="39"/>
      <c r="D701" s="39"/>
      <c r="E701" s="39"/>
      <c r="F701" s="194"/>
      <c r="G701" s="195"/>
      <c r="H701" s="38"/>
      <c r="I701" s="38"/>
      <c r="J701" s="38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 x14ac:dyDescent="0.25">
      <c r="A702" s="193"/>
      <c r="B702" s="39"/>
      <c r="C702" s="39"/>
      <c r="D702" s="39"/>
      <c r="E702" s="39"/>
      <c r="F702" s="194"/>
      <c r="G702" s="195"/>
      <c r="H702" s="38"/>
      <c r="I702" s="38"/>
      <c r="J702" s="38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 x14ac:dyDescent="0.25">
      <c r="A703" s="193"/>
      <c r="B703" s="39"/>
      <c r="C703" s="39"/>
      <c r="D703" s="39"/>
      <c r="E703" s="39"/>
      <c r="F703" s="194"/>
      <c r="G703" s="195"/>
      <c r="H703" s="38"/>
      <c r="I703" s="38"/>
      <c r="J703" s="38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 x14ac:dyDescent="0.25">
      <c r="A704" s="193"/>
      <c r="B704" s="39"/>
      <c r="C704" s="39"/>
      <c r="D704" s="39"/>
      <c r="E704" s="39"/>
      <c r="F704" s="194"/>
      <c r="G704" s="195"/>
      <c r="H704" s="38"/>
      <c r="I704" s="38"/>
      <c r="J704" s="38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 x14ac:dyDescent="0.25">
      <c r="A705" s="193"/>
      <c r="B705" s="39"/>
      <c r="C705" s="39"/>
      <c r="D705" s="39"/>
      <c r="E705" s="39"/>
      <c r="F705" s="194"/>
      <c r="G705" s="195"/>
      <c r="H705" s="38"/>
      <c r="I705" s="38"/>
      <c r="J705" s="38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 x14ac:dyDescent="0.25">
      <c r="A706" s="193"/>
      <c r="B706" s="39"/>
      <c r="C706" s="39"/>
      <c r="D706" s="39"/>
      <c r="E706" s="39"/>
      <c r="F706" s="194"/>
      <c r="G706" s="195"/>
      <c r="H706" s="38"/>
      <c r="I706" s="38"/>
      <c r="J706" s="38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 x14ac:dyDescent="0.25">
      <c r="A707" s="193"/>
      <c r="B707" s="39"/>
      <c r="C707" s="39"/>
      <c r="D707" s="39"/>
      <c r="E707" s="39"/>
      <c r="F707" s="194"/>
      <c r="G707" s="195"/>
      <c r="H707" s="38"/>
      <c r="I707" s="38"/>
      <c r="J707" s="38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 x14ac:dyDescent="0.25">
      <c r="A708" s="193"/>
      <c r="B708" s="39"/>
      <c r="C708" s="39"/>
      <c r="D708" s="39"/>
      <c r="E708" s="39"/>
      <c r="F708" s="194"/>
      <c r="G708" s="195"/>
      <c r="H708" s="38"/>
      <c r="I708" s="38"/>
      <c r="J708" s="38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 x14ac:dyDescent="0.25">
      <c r="A709" s="193"/>
      <c r="B709" s="39"/>
      <c r="C709" s="39"/>
      <c r="D709" s="39"/>
      <c r="E709" s="39"/>
      <c r="F709" s="194"/>
      <c r="G709" s="195"/>
      <c r="H709" s="38"/>
      <c r="I709" s="38"/>
      <c r="J709" s="38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 x14ac:dyDescent="0.25">
      <c r="A710" s="193"/>
      <c r="B710" s="39"/>
      <c r="C710" s="39"/>
      <c r="D710" s="39"/>
      <c r="E710" s="39"/>
      <c r="F710" s="194"/>
      <c r="G710" s="195"/>
      <c r="H710" s="38"/>
      <c r="I710" s="38"/>
      <c r="J710" s="38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 x14ac:dyDescent="0.25">
      <c r="A711" s="193"/>
      <c r="B711" s="39"/>
      <c r="C711" s="39"/>
      <c r="D711" s="39"/>
      <c r="E711" s="39"/>
      <c r="F711" s="194"/>
      <c r="G711" s="195"/>
      <c r="H711" s="38"/>
      <c r="I711" s="38"/>
      <c r="J711" s="38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 x14ac:dyDescent="0.25">
      <c r="A712" s="193"/>
      <c r="B712" s="39"/>
      <c r="C712" s="39"/>
      <c r="D712" s="39"/>
      <c r="E712" s="39"/>
      <c r="F712" s="194"/>
      <c r="G712" s="195"/>
      <c r="H712" s="38"/>
      <c r="I712" s="38"/>
      <c r="J712" s="38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 x14ac:dyDescent="0.25">
      <c r="A713" s="193"/>
      <c r="B713" s="39"/>
      <c r="C713" s="39"/>
      <c r="D713" s="39"/>
      <c r="E713" s="39"/>
      <c r="F713" s="194"/>
      <c r="G713" s="195"/>
      <c r="H713" s="38"/>
      <c r="I713" s="38"/>
      <c r="J713" s="38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 x14ac:dyDescent="0.25">
      <c r="A714" s="193"/>
      <c r="B714" s="39"/>
      <c r="C714" s="39"/>
      <c r="D714" s="39"/>
      <c r="E714" s="39"/>
      <c r="F714" s="194"/>
      <c r="G714" s="195"/>
      <c r="H714" s="38"/>
      <c r="I714" s="38"/>
      <c r="J714" s="38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 x14ac:dyDescent="0.25">
      <c r="A715" s="193"/>
      <c r="B715" s="39"/>
      <c r="C715" s="39"/>
      <c r="D715" s="39"/>
      <c r="E715" s="39"/>
      <c r="F715" s="194"/>
      <c r="G715" s="195"/>
      <c r="H715" s="38"/>
      <c r="I715" s="38"/>
      <c r="J715" s="38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 x14ac:dyDescent="0.25">
      <c r="A716" s="193"/>
      <c r="B716" s="39"/>
      <c r="C716" s="39"/>
      <c r="D716" s="39"/>
      <c r="E716" s="39"/>
      <c r="F716" s="194"/>
      <c r="G716" s="195"/>
      <c r="H716" s="38"/>
      <c r="I716" s="38"/>
      <c r="J716" s="38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 x14ac:dyDescent="0.25">
      <c r="A717" s="193"/>
      <c r="B717" s="39"/>
      <c r="C717" s="39"/>
      <c r="D717" s="39"/>
      <c r="E717" s="39"/>
      <c r="F717" s="194"/>
      <c r="G717" s="195"/>
      <c r="H717" s="38"/>
      <c r="I717" s="38"/>
      <c r="J717" s="38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 x14ac:dyDescent="0.25">
      <c r="A718" s="193"/>
      <c r="B718" s="39"/>
      <c r="C718" s="39"/>
      <c r="D718" s="39"/>
      <c r="E718" s="39"/>
      <c r="F718" s="194"/>
      <c r="G718" s="195"/>
      <c r="H718" s="38"/>
      <c r="I718" s="38"/>
      <c r="J718" s="38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 x14ac:dyDescent="0.25">
      <c r="A719" s="193"/>
      <c r="B719" s="39"/>
      <c r="C719" s="39"/>
      <c r="D719" s="39"/>
      <c r="E719" s="39"/>
      <c r="F719" s="194"/>
      <c r="G719" s="195"/>
      <c r="H719" s="38"/>
      <c r="I719" s="38"/>
      <c r="J719" s="38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 x14ac:dyDescent="0.25">
      <c r="A720" s="193"/>
      <c r="B720" s="39"/>
      <c r="C720" s="39"/>
      <c r="D720" s="39"/>
      <c r="E720" s="39"/>
      <c r="F720" s="194"/>
      <c r="G720" s="195"/>
      <c r="H720" s="38"/>
      <c r="I720" s="38"/>
      <c r="J720" s="38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 x14ac:dyDescent="0.25">
      <c r="A721" s="193"/>
      <c r="B721" s="39"/>
      <c r="C721" s="39"/>
      <c r="D721" s="39"/>
      <c r="E721" s="39"/>
      <c r="F721" s="194"/>
      <c r="G721" s="195"/>
      <c r="H721" s="38"/>
      <c r="I721" s="38"/>
      <c r="J721" s="38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 x14ac:dyDescent="0.25">
      <c r="A722" s="193"/>
      <c r="B722" s="39"/>
      <c r="C722" s="39"/>
      <c r="D722" s="39"/>
      <c r="E722" s="39"/>
      <c r="F722" s="194"/>
      <c r="G722" s="195"/>
      <c r="H722" s="38"/>
      <c r="I722" s="38"/>
      <c r="J722" s="38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 x14ac:dyDescent="0.25">
      <c r="A723" s="193"/>
      <c r="B723" s="39"/>
      <c r="C723" s="39"/>
      <c r="D723" s="39"/>
      <c r="E723" s="39"/>
      <c r="F723" s="194"/>
      <c r="G723" s="195"/>
      <c r="H723" s="38"/>
      <c r="I723" s="38"/>
      <c r="J723" s="38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 x14ac:dyDescent="0.25">
      <c r="A724" s="193"/>
      <c r="B724" s="39"/>
      <c r="C724" s="39"/>
      <c r="D724" s="39"/>
      <c r="E724" s="39"/>
      <c r="F724" s="194"/>
      <c r="G724" s="195"/>
      <c r="H724" s="38"/>
      <c r="I724" s="38"/>
      <c r="J724" s="38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 x14ac:dyDescent="0.25">
      <c r="A725" s="193"/>
      <c r="B725" s="39"/>
      <c r="C725" s="39"/>
      <c r="D725" s="39"/>
      <c r="E725" s="39"/>
      <c r="F725" s="194"/>
      <c r="G725" s="195"/>
      <c r="H725" s="38"/>
      <c r="I725" s="38"/>
      <c r="J725" s="38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 x14ac:dyDescent="0.25">
      <c r="A726" s="193"/>
      <c r="B726" s="39"/>
      <c r="C726" s="39"/>
      <c r="D726" s="39"/>
      <c r="E726" s="39"/>
      <c r="F726" s="194"/>
      <c r="G726" s="195"/>
      <c r="H726" s="38"/>
      <c r="I726" s="38"/>
      <c r="J726" s="38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 x14ac:dyDescent="0.25">
      <c r="A727" s="193"/>
      <c r="B727" s="39"/>
      <c r="C727" s="39"/>
      <c r="D727" s="39"/>
      <c r="E727" s="39"/>
      <c r="F727" s="194"/>
      <c r="G727" s="195"/>
      <c r="H727" s="38"/>
      <c r="I727" s="38"/>
      <c r="J727" s="38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 x14ac:dyDescent="0.25">
      <c r="A728" s="193"/>
      <c r="B728" s="39"/>
      <c r="C728" s="39"/>
      <c r="D728" s="39"/>
      <c r="E728" s="39"/>
      <c r="F728" s="194"/>
      <c r="G728" s="195"/>
      <c r="H728" s="38"/>
      <c r="I728" s="38"/>
      <c r="J728" s="38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 x14ac:dyDescent="0.25">
      <c r="A729" s="193"/>
      <c r="B729" s="39"/>
      <c r="C729" s="39"/>
      <c r="D729" s="39"/>
      <c r="E729" s="39"/>
      <c r="F729" s="194"/>
      <c r="G729" s="195"/>
      <c r="H729" s="38"/>
      <c r="I729" s="38"/>
      <c r="J729" s="38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 x14ac:dyDescent="0.25">
      <c r="A730" s="193"/>
      <c r="B730" s="39"/>
      <c r="C730" s="39"/>
      <c r="D730" s="39"/>
      <c r="E730" s="39"/>
      <c r="F730" s="194"/>
      <c r="G730" s="195"/>
      <c r="H730" s="38"/>
      <c r="I730" s="38"/>
      <c r="J730" s="38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 x14ac:dyDescent="0.25">
      <c r="A731" s="193"/>
      <c r="B731" s="39"/>
      <c r="C731" s="39"/>
      <c r="D731" s="39"/>
      <c r="E731" s="39"/>
      <c r="F731" s="194"/>
      <c r="G731" s="195"/>
      <c r="H731" s="38"/>
      <c r="I731" s="38"/>
      <c r="J731" s="38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 x14ac:dyDescent="0.25">
      <c r="A732" s="193"/>
      <c r="B732" s="39"/>
      <c r="C732" s="39"/>
      <c r="D732" s="39"/>
      <c r="E732" s="39"/>
      <c r="F732" s="194"/>
      <c r="G732" s="195"/>
      <c r="H732" s="38"/>
      <c r="I732" s="38"/>
      <c r="J732" s="38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 x14ac:dyDescent="0.25">
      <c r="A733" s="193"/>
      <c r="B733" s="39"/>
      <c r="C733" s="39"/>
      <c r="D733" s="39"/>
      <c r="E733" s="39"/>
      <c r="F733" s="194"/>
      <c r="G733" s="195"/>
      <c r="H733" s="38"/>
      <c r="I733" s="38"/>
      <c r="J733" s="38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 x14ac:dyDescent="0.25">
      <c r="A734" s="193"/>
      <c r="B734" s="39"/>
      <c r="C734" s="39"/>
      <c r="D734" s="39"/>
      <c r="E734" s="39"/>
      <c r="F734" s="194"/>
      <c r="G734" s="195"/>
      <c r="H734" s="38"/>
      <c r="I734" s="38"/>
      <c r="J734" s="38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 x14ac:dyDescent="0.25">
      <c r="A735" s="193"/>
      <c r="B735" s="39"/>
      <c r="C735" s="39"/>
      <c r="D735" s="39"/>
      <c r="E735" s="39"/>
      <c r="F735" s="194"/>
      <c r="G735" s="195"/>
      <c r="H735" s="38"/>
      <c r="I735" s="38"/>
      <c r="J735" s="38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 x14ac:dyDescent="0.25">
      <c r="A736" s="193"/>
      <c r="B736" s="39"/>
      <c r="C736" s="39"/>
      <c r="D736" s="39"/>
      <c r="E736" s="39"/>
      <c r="F736" s="194"/>
      <c r="G736" s="195"/>
      <c r="H736" s="38"/>
      <c r="I736" s="38"/>
      <c r="J736" s="38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 x14ac:dyDescent="0.25">
      <c r="A737" s="193"/>
      <c r="B737" s="39"/>
      <c r="C737" s="39"/>
      <c r="D737" s="39"/>
      <c r="E737" s="39"/>
      <c r="F737" s="194"/>
      <c r="G737" s="195"/>
      <c r="H737" s="38"/>
      <c r="I737" s="38"/>
      <c r="J737" s="38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 x14ac:dyDescent="0.25">
      <c r="A738" s="193"/>
      <c r="B738" s="39"/>
      <c r="C738" s="39"/>
      <c r="D738" s="39"/>
      <c r="E738" s="39"/>
      <c r="F738" s="194"/>
      <c r="G738" s="195"/>
      <c r="H738" s="38"/>
      <c r="I738" s="38"/>
      <c r="J738" s="38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 x14ac:dyDescent="0.25">
      <c r="A739" s="193"/>
      <c r="B739" s="39"/>
      <c r="C739" s="39"/>
      <c r="D739" s="39"/>
      <c r="E739" s="39"/>
      <c r="F739" s="194"/>
      <c r="G739" s="195"/>
      <c r="H739" s="38"/>
      <c r="I739" s="38"/>
      <c r="J739" s="38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 x14ac:dyDescent="0.25">
      <c r="A740" s="193"/>
      <c r="B740" s="39"/>
      <c r="C740" s="39"/>
      <c r="D740" s="39"/>
      <c r="E740" s="39"/>
      <c r="F740" s="194"/>
      <c r="G740" s="195"/>
      <c r="H740" s="38"/>
      <c r="I740" s="38"/>
      <c r="J740" s="38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 x14ac:dyDescent="0.25">
      <c r="A741" s="193"/>
      <c r="B741" s="39"/>
      <c r="C741" s="39"/>
      <c r="D741" s="39"/>
      <c r="E741" s="39"/>
      <c r="F741" s="194"/>
      <c r="G741" s="195"/>
      <c r="H741" s="38"/>
      <c r="I741" s="38"/>
      <c r="J741" s="38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 x14ac:dyDescent="0.25">
      <c r="A742" s="193"/>
      <c r="B742" s="39"/>
      <c r="C742" s="39"/>
      <c r="D742" s="39"/>
      <c r="E742" s="39"/>
      <c r="F742" s="194"/>
      <c r="G742" s="195"/>
      <c r="H742" s="38"/>
      <c r="I742" s="38"/>
      <c r="J742" s="38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 x14ac:dyDescent="0.25">
      <c r="A743" s="193"/>
      <c r="B743" s="39"/>
      <c r="C743" s="39"/>
      <c r="D743" s="39"/>
      <c r="E743" s="39"/>
      <c r="F743" s="194"/>
      <c r="G743" s="195"/>
      <c r="H743" s="38"/>
      <c r="I743" s="38"/>
      <c r="J743" s="38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 x14ac:dyDescent="0.25">
      <c r="A744" s="193"/>
      <c r="B744" s="39"/>
      <c r="C744" s="39"/>
      <c r="D744" s="39"/>
      <c r="E744" s="39"/>
      <c r="F744" s="194"/>
      <c r="G744" s="195"/>
      <c r="H744" s="38"/>
      <c r="I744" s="38"/>
      <c r="J744" s="38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 x14ac:dyDescent="0.25">
      <c r="A745" s="193"/>
      <c r="B745" s="39"/>
      <c r="C745" s="39"/>
      <c r="D745" s="39"/>
      <c r="E745" s="39"/>
      <c r="F745" s="194"/>
      <c r="G745" s="195"/>
      <c r="H745" s="38"/>
      <c r="I745" s="38"/>
      <c r="J745" s="38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 x14ac:dyDescent="0.25">
      <c r="A746" s="193"/>
      <c r="B746" s="39"/>
      <c r="C746" s="39"/>
      <c r="D746" s="39"/>
      <c r="E746" s="39"/>
      <c r="F746" s="194"/>
      <c r="G746" s="195"/>
      <c r="H746" s="38"/>
      <c r="I746" s="38"/>
      <c r="J746" s="38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 x14ac:dyDescent="0.25">
      <c r="A747" s="193"/>
      <c r="B747" s="39"/>
      <c r="C747" s="39"/>
      <c r="D747" s="39"/>
      <c r="E747" s="39"/>
      <c r="F747" s="194"/>
      <c r="G747" s="195"/>
      <c r="H747" s="38"/>
      <c r="I747" s="38"/>
      <c r="J747" s="38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 x14ac:dyDescent="0.25">
      <c r="A748" s="193"/>
      <c r="B748" s="39"/>
      <c r="C748" s="39"/>
      <c r="D748" s="39"/>
      <c r="E748" s="39"/>
      <c r="F748" s="194"/>
      <c r="G748" s="195"/>
      <c r="H748" s="38"/>
      <c r="I748" s="38"/>
      <c r="J748" s="38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 x14ac:dyDescent="0.25">
      <c r="A749" s="193"/>
      <c r="B749" s="39"/>
      <c r="C749" s="39"/>
      <c r="D749" s="39"/>
      <c r="E749" s="39"/>
      <c r="F749" s="194"/>
      <c r="G749" s="195"/>
      <c r="H749" s="38"/>
      <c r="I749" s="38"/>
      <c r="J749" s="38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 x14ac:dyDescent="0.25">
      <c r="A750" s="193"/>
      <c r="B750" s="39"/>
      <c r="C750" s="39"/>
      <c r="D750" s="39"/>
      <c r="E750" s="39"/>
      <c r="F750" s="194"/>
      <c r="G750" s="195"/>
      <c r="H750" s="38"/>
      <c r="I750" s="38"/>
      <c r="J750" s="38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 x14ac:dyDescent="0.25">
      <c r="A751" s="193"/>
      <c r="B751" s="39"/>
      <c r="C751" s="39"/>
      <c r="D751" s="39"/>
      <c r="E751" s="39"/>
      <c r="F751" s="194"/>
      <c r="G751" s="195"/>
      <c r="H751" s="38"/>
      <c r="I751" s="38"/>
      <c r="J751" s="38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 x14ac:dyDescent="0.25">
      <c r="A752" s="193"/>
      <c r="B752" s="39"/>
      <c r="C752" s="39"/>
      <c r="D752" s="39"/>
      <c r="E752" s="39"/>
      <c r="F752" s="194"/>
      <c r="G752" s="195"/>
      <c r="H752" s="38"/>
      <c r="I752" s="38"/>
      <c r="J752" s="38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 x14ac:dyDescent="0.25">
      <c r="A753" s="193"/>
      <c r="B753" s="39"/>
      <c r="C753" s="39"/>
      <c r="D753" s="39"/>
      <c r="E753" s="39"/>
      <c r="F753" s="194"/>
      <c r="G753" s="195"/>
      <c r="H753" s="38"/>
      <c r="I753" s="38"/>
      <c r="J753" s="38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 x14ac:dyDescent="0.25">
      <c r="A754" s="193"/>
      <c r="B754" s="39"/>
      <c r="C754" s="39"/>
      <c r="D754" s="39"/>
      <c r="E754" s="39"/>
      <c r="F754" s="194"/>
      <c r="G754" s="195"/>
      <c r="H754" s="38"/>
      <c r="I754" s="38"/>
      <c r="J754" s="38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 x14ac:dyDescent="0.25">
      <c r="A755" s="193"/>
      <c r="B755" s="39"/>
      <c r="C755" s="39"/>
      <c r="D755" s="39"/>
      <c r="E755" s="39"/>
      <c r="F755" s="194"/>
      <c r="G755" s="195"/>
      <c r="H755" s="38"/>
      <c r="I755" s="38"/>
      <c r="J755" s="38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 x14ac:dyDescent="0.25">
      <c r="A756" s="193"/>
      <c r="B756" s="39"/>
      <c r="C756" s="39"/>
      <c r="D756" s="39"/>
      <c r="E756" s="39"/>
      <c r="F756" s="194"/>
      <c r="G756" s="195"/>
      <c r="H756" s="38"/>
      <c r="I756" s="38"/>
      <c r="J756" s="38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 x14ac:dyDescent="0.25">
      <c r="A757" s="193"/>
      <c r="B757" s="39"/>
      <c r="C757" s="39"/>
      <c r="D757" s="39"/>
      <c r="E757" s="39"/>
      <c r="F757" s="194"/>
      <c r="G757" s="195"/>
      <c r="H757" s="38"/>
      <c r="I757" s="38"/>
      <c r="J757" s="38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 x14ac:dyDescent="0.25">
      <c r="A758" s="193"/>
      <c r="B758" s="39"/>
      <c r="C758" s="39"/>
      <c r="D758" s="39"/>
      <c r="E758" s="39"/>
      <c r="F758" s="194"/>
      <c r="G758" s="195"/>
      <c r="H758" s="38"/>
      <c r="I758" s="38"/>
      <c r="J758" s="38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 x14ac:dyDescent="0.25">
      <c r="A759" s="193"/>
      <c r="B759" s="39"/>
      <c r="C759" s="39"/>
      <c r="D759" s="39"/>
      <c r="E759" s="39"/>
      <c r="F759" s="194"/>
      <c r="G759" s="195"/>
      <c r="H759" s="38"/>
      <c r="I759" s="38"/>
      <c r="J759" s="38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 x14ac:dyDescent="0.25">
      <c r="A760" s="193"/>
      <c r="B760" s="39"/>
      <c r="C760" s="39"/>
      <c r="D760" s="39"/>
      <c r="E760" s="39"/>
      <c r="F760" s="194"/>
      <c r="G760" s="195"/>
      <c r="H760" s="38"/>
      <c r="I760" s="38"/>
      <c r="J760" s="38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 x14ac:dyDescent="0.25">
      <c r="A761" s="193"/>
      <c r="B761" s="39"/>
      <c r="C761" s="39"/>
      <c r="D761" s="39"/>
      <c r="E761" s="39"/>
      <c r="F761" s="194"/>
      <c r="G761" s="195"/>
      <c r="H761" s="38"/>
      <c r="I761" s="38"/>
      <c r="J761" s="38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 x14ac:dyDescent="0.25">
      <c r="A762" s="193"/>
      <c r="B762" s="39"/>
      <c r="C762" s="39"/>
      <c r="D762" s="39"/>
      <c r="E762" s="39"/>
      <c r="F762" s="194"/>
      <c r="G762" s="195"/>
      <c r="H762" s="38"/>
      <c r="I762" s="38"/>
      <c r="J762" s="38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 x14ac:dyDescent="0.25">
      <c r="A763" s="193"/>
      <c r="B763" s="39"/>
      <c r="C763" s="39"/>
      <c r="D763" s="39"/>
      <c r="E763" s="39"/>
      <c r="F763" s="194"/>
      <c r="G763" s="195"/>
      <c r="H763" s="38"/>
      <c r="I763" s="38"/>
      <c r="J763" s="38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 x14ac:dyDescent="0.25">
      <c r="A764" s="193"/>
      <c r="B764" s="39"/>
      <c r="C764" s="39"/>
      <c r="D764" s="39"/>
      <c r="E764" s="39"/>
      <c r="F764" s="194"/>
      <c r="G764" s="195"/>
      <c r="H764" s="38"/>
      <c r="I764" s="38"/>
      <c r="J764" s="38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 x14ac:dyDescent="0.25">
      <c r="A765" s="193"/>
      <c r="B765" s="39"/>
      <c r="C765" s="39"/>
      <c r="D765" s="39"/>
      <c r="E765" s="39"/>
      <c r="F765" s="194"/>
      <c r="G765" s="195"/>
      <c r="H765" s="38"/>
      <c r="I765" s="38"/>
      <c r="J765" s="38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 x14ac:dyDescent="0.25">
      <c r="A766" s="193"/>
      <c r="B766" s="39"/>
      <c r="C766" s="39"/>
      <c r="D766" s="39"/>
      <c r="E766" s="39"/>
      <c r="F766" s="194"/>
      <c r="G766" s="195"/>
      <c r="H766" s="38"/>
      <c r="I766" s="38"/>
      <c r="J766" s="38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 x14ac:dyDescent="0.25">
      <c r="A767" s="193"/>
      <c r="B767" s="39"/>
      <c r="C767" s="39"/>
      <c r="D767" s="39"/>
      <c r="E767" s="39"/>
      <c r="F767" s="194"/>
      <c r="G767" s="195"/>
      <c r="H767" s="38"/>
      <c r="I767" s="38"/>
      <c r="J767" s="38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 x14ac:dyDescent="0.25">
      <c r="A768" s="193"/>
      <c r="B768" s="39"/>
      <c r="C768" s="39"/>
      <c r="D768" s="39"/>
      <c r="E768" s="39"/>
      <c r="F768" s="194"/>
      <c r="G768" s="195"/>
      <c r="H768" s="38"/>
      <c r="I768" s="38"/>
      <c r="J768" s="38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 x14ac:dyDescent="0.25">
      <c r="A769" s="193"/>
      <c r="B769" s="39"/>
      <c r="C769" s="39"/>
      <c r="D769" s="39"/>
      <c r="E769" s="39"/>
      <c r="F769" s="194"/>
      <c r="G769" s="195"/>
      <c r="H769" s="38"/>
      <c r="I769" s="38"/>
      <c r="J769" s="38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 x14ac:dyDescent="0.25">
      <c r="A770" s="193"/>
      <c r="B770" s="39"/>
      <c r="C770" s="39"/>
      <c r="D770" s="39"/>
      <c r="E770" s="39"/>
      <c r="F770" s="194"/>
      <c r="G770" s="195"/>
      <c r="H770" s="38"/>
      <c r="I770" s="38"/>
      <c r="J770" s="38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 x14ac:dyDescent="0.25">
      <c r="A771" s="193"/>
      <c r="B771" s="39"/>
      <c r="C771" s="39"/>
      <c r="D771" s="39"/>
      <c r="E771" s="39"/>
      <c r="F771" s="194"/>
      <c r="G771" s="195"/>
      <c r="H771" s="38"/>
      <c r="I771" s="38"/>
      <c r="J771" s="38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 x14ac:dyDescent="0.25">
      <c r="A772" s="193"/>
      <c r="B772" s="39"/>
      <c r="C772" s="39"/>
      <c r="D772" s="39"/>
      <c r="E772" s="39"/>
      <c r="F772" s="194"/>
      <c r="G772" s="195"/>
      <c r="H772" s="38"/>
      <c r="I772" s="38"/>
      <c r="J772" s="38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 x14ac:dyDescent="0.25">
      <c r="A773" s="193"/>
      <c r="B773" s="39"/>
      <c r="C773" s="39"/>
      <c r="D773" s="39"/>
      <c r="E773" s="39"/>
      <c r="F773" s="194"/>
      <c r="G773" s="195"/>
      <c r="H773" s="38"/>
      <c r="I773" s="38"/>
      <c r="J773" s="38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 x14ac:dyDescent="0.25">
      <c r="A774" s="193"/>
      <c r="B774" s="39"/>
      <c r="C774" s="39"/>
      <c r="D774" s="39"/>
      <c r="E774" s="39"/>
      <c r="F774" s="194"/>
      <c r="G774" s="195"/>
      <c r="H774" s="38"/>
      <c r="I774" s="38"/>
      <c r="J774" s="38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 x14ac:dyDescent="0.25">
      <c r="A775" s="193"/>
      <c r="B775" s="39"/>
      <c r="C775" s="39"/>
      <c r="D775" s="39"/>
      <c r="E775" s="39"/>
      <c r="F775" s="194"/>
      <c r="G775" s="195"/>
      <c r="H775" s="38"/>
      <c r="I775" s="38"/>
      <c r="J775" s="38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 x14ac:dyDescent="0.25">
      <c r="A776" s="193"/>
      <c r="B776" s="39"/>
      <c r="C776" s="39"/>
      <c r="D776" s="39"/>
      <c r="E776" s="39"/>
      <c r="F776" s="194"/>
      <c r="G776" s="195"/>
      <c r="H776" s="38"/>
      <c r="I776" s="38"/>
      <c r="J776" s="38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 x14ac:dyDescent="0.25">
      <c r="A777" s="193"/>
      <c r="B777" s="39"/>
      <c r="C777" s="39"/>
      <c r="D777" s="39"/>
      <c r="E777" s="39"/>
      <c r="F777" s="194"/>
      <c r="G777" s="195"/>
      <c r="H777" s="38"/>
      <c r="I777" s="38"/>
      <c r="J777" s="38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 x14ac:dyDescent="0.25">
      <c r="A778" s="193"/>
      <c r="B778" s="39"/>
      <c r="C778" s="39"/>
      <c r="D778" s="39"/>
      <c r="E778" s="39"/>
      <c r="F778" s="194"/>
      <c r="G778" s="195"/>
      <c r="H778" s="38"/>
      <c r="I778" s="38"/>
      <c r="J778" s="38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 x14ac:dyDescent="0.25">
      <c r="A779" s="193"/>
      <c r="B779" s="39"/>
      <c r="C779" s="39"/>
      <c r="D779" s="39"/>
      <c r="E779" s="39"/>
      <c r="F779" s="194"/>
      <c r="G779" s="195"/>
      <c r="H779" s="38"/>
      <c r="I779" s="38"/>
      <c r="J779" s="38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 x14ac:dyDescent="0.25">
      <c r="A780" s="193"/>
      <c r="B780" s="39"/>
      <c r="C780" s="39"/>
      <c r="D780" s="39"/>
      <c r="E780" s="39"/>
      <c r="F780" s="194"/>
      <c r="G780" s="195"/>
      <c r="H780" s="38"/>
      <c r="I780" s="38"/>
      <c r="J780" s="38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 x14ac:dyDescent="0.25">
      <c r="A781" s="193"/>
      <c r="B781" s="39"/>
      <c r="C781" s="39"/>
      <c r="D781" s="39"/>
      <c r="E781" s="39"/>
      <c r="F781" s="194"/>
      <c r="G781" s="195"/>
      <c r="H781" s="38"/>
      <c r="I781" s="38"/>
      <c r="J781" s="38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 x14ac:dyDescent="0.25">
      <c r="A782" s="193"/>
      <c r="B782" s="39"/>
      <c r="C782" s="39"/>
      <c r="D782" s="39"/>
      <c r="E782" s="39"/>
      <c r="F782" s="194"/>
      <c r="G782" s="195"/>
      <c r="H782" s="38"/>
      <c r="I782" s="38"/>
      <c r="J782" s="38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 x14ac:dyDescent="0.25">
      <c r="A783" s="193"/>
      <c r="B783" s="39"/>
      <c r="C783" s="39"/>
      <c r="D783" s="39"/>
      <c r="E783" s="39"/>
      <c r="F783" s="194"/>
      <c r="G783" s="195"/>
      <c r="H783" s="38"/>
      <c r="I783" s="38"/>
      <c r="J783" s="38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 x14ac:dyDescent="0.25">
      <c r="A784" s="193"/>
      <c r="B784" s="39"/>
      <c r="C784" s="39"/>
      <c r="D784" s="39"/>
      <c r="E784" s="39"/>
      <c r="F784" s="194"/>
      <c r="G784" s="195"/>
      <c r="H784" s="38"/>
      <c r="I784" s="38"/>
      <c r="J784" s="38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 x14ac:dyDescent="0.25">
      <c r="A785" s="193"/>
      <c r="B785" s="39"/>
      <c r="C785" s="39"/>
      <c r="D785" s="39"/>
      <c r="E785" s="39"/>
      <c r="F785" s="194"/>
      <c r="G785" s="195"/>
      <c r="H785" s="38"/>
      <c r="I785" s="38"/>
      <c r="J785" s="38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 x14ac:dyDescent="0.25">
      <c r="A786" s="193"/>
      <c r="B786" s="39"/>
      <c r="C786" s="39"/>
      <c r="D786" s="39"/>
      <c r="E786" s="39"/>
      <c r="F786" s="194"/>
      <c r="G786" s="195"/>
      <c r="H786" s="38"/>
      <c r="I786" s="38"/>
      <c r="J786" s="38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 x14ac:dyDescent="0.25">
      <c r="A787" s="193"/>
      <c r="B787" s="39"/>
      <c r="C787" s="39"/>
      <c r="D787" s="39"/>
      <c r="E787" s="39"/>
      <c r="F787" s="194"/>
      <c r="G787" s="195"/>
      <c r="H787" s="38"/>
      <c r="I787" s="38"/>
      <c r="J787" s="38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 x14ac:dyDescent="0.25">
      <c r="A788" s="193"/>
      <c r="B788" s="39"/>
      <c r="C788" s="39"/>
      <c r="D788" s="39"/>
      <c r="E788" s="39"/>
      <c r="F788" s="194"/>
      <c r="G788" s="195"/>
      <c r="H788" s="38"/>
      <c r="I788" s="38"/>
      <c r="J788" s="38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 x14ac:dyDescent="0.25">
      <c r="A789" s="193"/>
      <c r="B789" s="39"/>
      <c r="C789" s="39"/>
      <c r="D789" s="39"/>
      <c r="E789" s="39"/>
      <c r="F789" s="194"/>
      <c r="G789" s="195"/>
      <c r="H789" s="38"/>
      <c r="I789" s="38"/>
      <c r="J789" s="38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 x14ac:dyDescent="0.25">
      <c r="A790" s="193"/>
      <c r="B790" s="39"/>
      <c r="C790" s="39"/>
      <c r="D790" s="39"/>
      <c r="E790" s="39"/>
      <c r="F790" s="194"/>
      <c r="G790" s="195"/>
      <c r="H790" s="38"/>
      <c r="I790" s="38"/>
      <c r="J790" s="38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 x14ac:dyDescent="0.25">
      <c r="A791" s="193"/>
      <c r="B791" s="39"/>
      <c r="C791" s="39"/>
      <c r="D791" s="39"/>
      <c r="E791" s="39"/>
      <c r="F791" s="194"/>
      <c r="G791" s="195"/>
      <c r="H791" s="38"/>
      <c r="I791" s="38"/>
      <c r="J791" s="38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 x14ac:dyDescent="0.25">
      <c r="A792" s="193"/>
      <c r="B792" s="39"/>
      <c r="C792" s="39"/>
      <c r="D792" s="39"/>
      <c r="E792" s="39"/>
      <c r="F792" s="194"/>
      <c r="G792" s="195"/>
      <c r="H792" s="38"/>
      <c r="I792" s="38"/>
      <c r="J792" s="38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 x14ac:dyDescent="0.25">
      <c r="A793" s="193"/>
      <c r="B793" s="39"/>
      <c r="C793" s="39"/>
      <c r="D793" s="39"/>
      <c r="E793" s="39"/>
      <c r="F793" s="194"/>
      <c r="G793" s="195"/>
      <c r="H793" s="38"/>
      <c r="I793" s="38"/>
      <c r="J793" s="38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 x14ac:dyDescent="0.25">
      <c r="A794" s="193"/>
      <c r="B794" s="39"/>
      <c r="C794" s="39"/>
      <c r="D794" s="39"/>
      <c r="E794" s="39"/>
      <c r="F794" s="194"/>
      <c r="G794" s="195"/>
      <c r="H794" s="38"/>
      <c r="I794" s="38"/>
      <c r="J794" s="38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 x14ac:dyDescent="0.25">
      <c r="A795" s="193"/>
      <c r="B795" s="39"/>
      <c r="C795" s="39"/>
      <c r="D795" s="39"/>
      <c r="E795" s="39"/>
      <c r="F795" s="194"/>
      <c r="G795" s="195"/>
      <c r="H795" s="38"/>
      <c r="I795" s="38"/>
      <c r="J795" s="38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 x14ac:dyDescent="0.25">
      <c r="A796" s="193"/>
      <c r="B796" s="39"/>
      <c r="C796" s="39"/>
      <c r="D796" s="39"/>
      <c r="E796" s="39"/>
      <c r="F796" s="194"/>
      <c r="G796" s="195"/>
      <c r="H796" s="38"/>
      <c r="I796" s="38"/>
      <c r="J796" s="38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 x14ac:dyDescent="0.25">
      <c r="A797" s="193"/>
      <c r="B797" s="39"/>
      <c r="C797" s="39"/>
      <c r="D797" s="39"/>
      <c r="E797" s="39"/>
      <c r="F797" s="194"/>
      <c r="G797" s="195"/>
      <c r="H797" s="38"/>
      <c r="I797" s="38"/>
      <c r="J797" s="38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 x14ac:dyDescent="0.25">
      <c r="A798" s="193"/>
      <c r="B798" s="39"/>
      <c r="C798" s="39"/>
      <c r="D798" s="39"/>
      <c r="E798" s="39"/>
      <c r="F798" s="194"/>
      <c r="G798" s="195"/>
      <c r="H798" s="38"/>
      <c r="I798" s="38"/>
      <c r="J798" s="38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 x14ac:dyDescent="0.25">
      <c r="A799" s="193"/>
      <c r="B799" s="39"/>
      <c r="C799" s="39"/>
      <c r="D799" s="39"/>
      <c r="E799" s="39"/>
      <c r="F799" s="194"/>
      <c r="G799" s="195"/>
      <c r="H799" s="38"/>
      <c r="I799" s="38"/>
      <c r="J799" s="38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 x14ac:dyDescent="0.25">
      <c r="A800" s="193"/>
      <c r="B800" s="39"/>
      <c r="C800" s="39"/>
      <c r="D800" s="39"/>
      <c r="E800" s="39"/>
      <c r="F800" s="194"/>
      <c r="G800" s="195"/>
      <c r="H800" s="38"/>
      <c r="I800" s="38"/>
      <c r="J800" s="38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 x14ac:dyDescent="0.25">
      <c r="A801" s="193"/>
      <c r="B801" s="39"/>
      <c r="C801" s="39"/>
      <c r="D801" s="39"/>
      <c r="E801" s="39"/>
      <c r="F801" s="194"/>
      <c r="G801" s="195"/>
      <c r="H801" s="38"/>
      <c r="I801" s="38"/>
      <c r="J801" s="38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 x14ac:dyDescent="0.25">
      <c r="A802" s="193"/>
      <c r="B802" s="39"/>
      <c r="C802" s="39"/>
      <c r="D802" s="39"/>
      <c r="E802" s="39"/>
      <c r="F802" s="194"/>
      <c r="G802" s="195"/>
      <c r="H802" s="38"/>
      <c r="I802" s="38"/>
      <c r="J802" s="38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 x14ac:dyDescent="0.25">
      <c r="A803" s="193"/>
      <c r="B803" s="39"/>
      <c r="C803" s="39"/>
      <c r="D803" s="39"/>
      <c r="E803" s="39"/>
      <c r="F803" s="194"/>
      <c r="G803" s="195"/>
      <c r="H803" s="38"/>
      <c r="I803" s="38"/>
      <c r="J803" s="38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 x14ac:dyDescent="0.25">
      <c r="A804" s="193"/>
      <c r="B804" s="39"/>
      <c r="C804" s="39"/>
      <c r="D804" s="39"/>
      <c r="E804" s="39"/>
      <c r="F804" s="194"/>
      <c r="G804" s="195"/>
      <c r="H804" s="38"/>
      <c r="I804" s="38"/>
      <c r="J804" s="38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 x14ac:dyDescent="0.25">
      <c r="A805" s="193"/>
      <c r="B805" s="39"/>
      <c r="C805" s="39"/>
      <c r="D805" s="39"/>
      <c r="E805" s="39"/>
      <c r="F805" s="194"/>
      <c r="G805" s="195"/>
      <c r="H805" s="38"/>
      <c r="I805" s="38"/>
      <c r="J805" s="38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 x14ac:dyDescent="0.25">
      <c r="A806" s="193"/>
      <c r="B806" s="39"/>
      <c r="C806" s="39"/>
      <c r="D806" s="39"/>
      <c r="E806" s="39"/>
      <c r="F806" s="194"/>
      <c r="G806" s="195"/>
      <c r="H806" s="38"/>
      <c r="I806" s="38"/>
      <c r="J806" s="38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 x14ac:dyDescent="0.25">
      <c r="A807" s="193"/>
      <c r="B807" s="39"/>
      <c r="C807" s="39"/>
      <c r="D807" s="39"/>
      <c r="E807" s="39"/>
      <c r="F807" s="194"/>
      <c r="G807" s="195"/>
      <c r="H807" s="38"/>
      <c r="I807" s="38"/>
      <c r="J807" s="38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 x14ac:dyDescent="0.25">
      <c r="A808" s="193"/>
      <c r="B808" s="39"/>
      <c r="C808" s="39"/>
      <c r="D808" s="39"/>
      <c r="E808" s="39"/>
      <c r="F808" s="194"/>
      <c r="G808" s="195"/>
      <c r="H808" s="38"/>
      <c r="I808" s="38"/>
      <c r="J808" s="38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 x14ac:dyDescent="0.25">
      <c r="A809" s="193"/>
      <c r="B809" s="39"/>
      <c r="C809" s="39"/>
      <c r="D809" s="39"/>
      <c r="E809" s="39"/>
      <c r="F809" s="194"/>
      <c r="G809" s="195"/>
      <c r="H809" s="38"/>
      <c r="I809" s="38"/>
      <c r="J809" s="38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 x14ac:dyDescent="0.25">
      <c r="A810" s="193"/>
      <c r="B810" s="39"/>
      <c r="C810" s="39"/>
      <c r="D810" s="39"/>
      <c r="E810" s="39"/>
      <c r="F810" s="194"/>
      <c r="G810" s="195"/>
      <c r="H810" s="38"/>
      <c r="I810" s="38"/>
      <c r="J810" s="38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 x14ac:dyDescent="0.25">
      <c r="A811" s="193"/>
      <c r="B811" s="39"/>
      <c r="C811" s="39"/>
      <c r="D811" s="39"/>
      <c r="E811" s="39"/>
      <c r="F811" s="194"/>
      <c r="G811" s="195"/>
      <c r="H811" s="38"/>
      <c r="I811" s="38"/>
      <c r="J811" s="38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 x14ac:dyDescent="0.25">
      <c r="A812" s="193"/>
      <c r="B812" s="39"/>
      <c r="C812" s="39"/>
      <c r="D812" s="39"/>
      <c r="E812" s="39"/>
      <c r="F812" s="194"/>
      <c r="G812" s="195"/>
      <c r="H812" s="38"/>
      <c r="I812" s="38"/>
      <c r="J812" s="38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 x14ac:dyDescent="0.25">
      <c r="A813" s="193"/>
      <c r="B813" s="39"/>
      <c r="C813" s="39"/>
      <c r="D813" s="39"/>
      <c r="E813" s="39"/>
      <c r="F813" s="194"/>
      <c r="G813" s="195"/>
      <c r="H813" s="38"/>
      <c r="I813" s="38"/>
      <c r="J813" s="38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 x14ac:dyDescent="0.25">
      <c r="A814" s="193"/>
      <c r="B814" s="39"/>
      <c r="C814" s="39"/>
      <c r="D814" s="39"/>
      <c r="E814" s="39"/>
      <c r="F814" s="194"/>
      <c r="G814" s="195"/>
      <c r="H814" s="38"/>
      <c r="I814" s="38"/>
      <c r="J814" s="38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 x14ac:dyDescent="0.25">
      <c r="A815" s="193"/>
      <c r="B815" s="39"/>
      <c r="C815" s="39"/>
      <c r="D815" s="39"/>
      <c r="E815" s="39"/>
      <c r="F815" s="194"/>
      <c r="G815" s="195"/>
      <c r="H815" s="38"/>
      <c r="I815" s="38"/>
      <c r="J815" s="38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 x14ac:dyDescent="0.25">
      <c r="A816" s="193"/>
      <c r="B816" s="39"/>
      <c r="C816" s="39"/>
      <c r="D816" s="39"/>
      <c r="E816" s="39"/>
      <c r="F816" s="194"/>
      <c r="G816" s="195"/>
      <c r="H816" s="38"/>
      <c r="I816" s="38"/>
      <c r="J816" s="38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 x14ac:dyDescent="0.25">
      <c r="A817" s="193"/>
      <c r="B817" s="39"/>
      <c r="C817" s="39"/>
      <c r="D817" s="39"/>
      <c r="E817" s="39"/>
      <c r="F817" s="194"/>
      <c r="G817" s="195"/>
      <c r="H817" s="38"/>
      <c r="I817" s="38"/>
      <c r="J817" s="38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 x14ac:dyDescent="0.25">
      <c r="A818" s="193"/>
      <c r="B818" s="39"/>
      <c r="C818" s="39"/>
      <c r="D818" s="39"/>
      <c r="E818" s="39"/>
      <c r="F818" s="194"/>
      <c r="G818" s="195"/>
      <c r="H818" s="38"/>
      <c r="I818" s="38"/>
      <c r="J818" s="38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 x14ac:dyDescent="0.25">
      <c r="A819" s="193"/>
      <c r="B819" s="39"/>
      <c r="C819" s="39"/>
      <c r="D819" s="39"/>
      <c r="E819" s="39"/>
      <c r="F819" s="194"/>
      <c r="G819" s="195"/>
      <c r="H819" s="38"/>
      <c r="I819" s="38"/>
      <c r="J819" s="38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 x14ac:dyDescent="0.25">
      <c r="A820" s="193"/>
      <c r="B820" s="39"/>
      <c r="C820" s="39"/>
      <c r="D820" s="39"/>
      <c r="E820" s="39"/>
      <c r="F820" s="194"/>
      <c r="G820" s="195"/>
      <c r="H820" s="38"/>
      <c r="I820" s="38"/>
      <c r="J820" s="38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 x14ac:dyDescent="0.25">
      <c r="A821" s="193"/>
      <c r="B821" s="39"/>
      <c r="C821" s="39"/>
      <c r="D821" s="39"/>
      <c r="E821" s="39"/>
      <c r="F821" s="194"/>
      <c r="G821" s="195"/>
      <c r="H821" s="38"/>
      <c r="I821" s="38"/>
      <c r="J821" s="38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 x14ac:dyDescent="0.25">
      <c r="A822" s="193"/>
      <c r="B822" s="39"/>
      <c r="C822" s="39"/>
      <c r="D822" s="39"/>
      <c r="E822" s="39"/>
      <c r="F822" s="194"/>
      <c r="G822" s="195"/>
      <c r="H822" s="38"/>
      <c r="I822" s="38"/>
      <c r="J822" s="38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 x14ac:dyDescent="0.25">
      <c r="A823" s="193"/>
      <c r="B823" s="39"/>
      <c r="C823" s="39"/>
      <c r="D823" s="39"/>
      <c r="E823" s="39"/>
      <c r="F823" s="194"/>
      <c r="G823" s="195"/>
      <c r="H823" s="38"/>
      <c r="I823" s="38"/>
      <c r="J823" s="38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 x14ac:dyDescent="0.25">
      <c r="A824" s="193"/>
      <c r="B824" s="39"/>
      <c r="C824" s="39"/>
      <c r="D824" s="39"/>
      <c r="E824" s="39"/>
      <c r="F824" s="194"/>
      <c r="G824" s="195"/>
      <c r="H824" s="38"/>
      <c r="I824" s="38"/>
      <c r="J824" s="38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 x14ac:dyDescent="0.25">
      <c r="A825" s="193"/>
      <c r="B825" s="39"/>
      <c r="C825" s="39"/>
      <c r="D825" s="39"/>
      <c r="E825" s="39"/>
      <c r="F825" s="194"/>
      <c r="G825" s="195"/>
      <c r="H825" s="38"/>
      <c r="I825" s="38"/>
      <c r="J825" s="38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 x14ac:dyDescent="0.25">
      <c r="A826" s="193"/>
      <c r="B826" s="39"/>
      <c r="C826" s="39"/>
      <c r="D826" s="39"/>
      <c r="E826" s="39"/>
      <c r="F826" s="194"/>
      <c r="G826" s="195"/>
      <c r="H826" s="38"/>
      <c r="I826" s="38"/>
      <c r="J826" s="38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 x14ac:dyDescent="0.25">
      <c r="A827" s="193"/>
      <c r="B827" s="39"/>
      <c r="C827" s="39"/>
      <c r="D827" s="39"/>
      <c r="E827" s="39"/>
      <c r="F827" s="194"/>
      <c r="G827" s="195"/>
      <c r="H827" s="38"/>
      <c r="I827" s="38"/>
      <c r="J827" s="38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 x14ac:dyDescent="0.25">
      <c r="A828" s="193"/>
      <c r="B828" s="39"/>
      <c r="C828" s="39"/>
      <c r="D828" s="39"/>
      <c r="E828" s="39"/>
      <c r="F828" s="194"/>
      <c r="G828" s="195"/>
      <c r="H828" s="38"/>
      <c r="I828" s="38"/>
      <c r="J828" s="38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 x14ac:dyDescent="0.25">
      <c r="A829" s="193"/>
      <c r="B829" s="39"/>
      <c r="C829" s="39"/>
      <c r="D829" s="39"/>
      <c r="E829" s="39"/>
      <c r="F829" s="194"/>
      <c r="G829" s="195"/>
      <c r="H829" s="38"/>
      <c r="I829" s="38"/>
      <c r="J829" s="38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 x14ac:dyDescent="0.25">
      <c r="A830" s="193"/>
      <c r="B830" s="39"/>
      <c r="C830" s="39"/>
      <c r="D830" s="39"/>
      <c r="E830" s="39"/>
      <c r="F830" s="194"/>
      <c r="G830" s="195"/>
      <c r="H830" s="38"/>
      <c r="I830" s="38"/>
      <c r="J830" s="38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 x14ac:dyDescent="0.25">
      <c r="A831" s="193"/>
      <c r="B831" s="39"/>
      <c r="C831" s="39"/>
      <c r="D831" s="39"/>
      <c r="E831" s="39"/>
      <c r="F831" s="194"/>
      <c r="G831" s="195"/>
      <c r="H831" s="38"/>
      <c r="I831" s="38"/>
      <c r="J831" s="38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 x14ac:dyDescent="0.25">
      <c r="A832" s="193"/>
      <c r="B832" s="39"/>
      <c r="C832" s="39"/>
      <c r="D832" s="39"/>
      <c r="E832" s="39"/>
      <c r="F832" s="194"/>
      <c r="G832" s="195"/>
      <c r="H832" s="38"/>
      <c r="I832" s="38"/>
      <c r="J832" s="38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 x14ac:dyDescent="0.25">
      <c r="A833" s="193"/>
      <c r="B833" s="39"/>
      <c r="C833" s="39"/>
      <c r="D833" s="39"/>
      <c r="E833" s="39"/>
      <c r="F833" s="194"/>
      <c r="G833" s="195"/>
      <c r="H833" s="38"/>
      <c r="I833" s="38"/>
      <c r="J833" s="38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 x14ac:dyDescent="0.25">
      <c r="A834" s="193"/>
      <c r="B834" s="39"/>
      <c r="C834" s="39"/>
      <c r="D834" s="39"/>
      <c r="E834" s="39"/>
      <c r="F834" s="194"/>
      <c r="G834" s="195"/>
      <c r="H834" s="38"/>
      <c r="I834" s="38"/>
      <c r="J834" s="38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 x14ac:dyDescent="0.25">
      <c r="A835" s="193"/>
      <c r="B835" s="39"/>
      <c r="C835" s="39"/>
      <c r="D835" s="39"/>
      <c r="E835" s="39"/>
      <c r="F835" s="194"/>
      <c r="G835" s="195"/>
      <c r="H835" s="38"/>
      <c r="I835" s="38"/>
      <c r="J835" s="38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 x14ac:dyDescent="0.25">
      <c r="A836" s="193"/>
      <c r="B836" s="39"/>
      <c r="C836" s="39"/>
      <c r="D836" s="39"/>
      <c r="E836" s="39"/>
      <c r="F836" s="194"/>
      <c r="G836" s="195"/>
      <c r="H836" s="38"/>
      <c r="I836" s="38"/>
      <c r="J836" s="38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 x14ac:dyDescent="0.25">
      <c r="A837" s="193"/>
      <c r="B837" s="39"/>
      <c r="C837" s="39"/>
      <c r="D837" s="39"/>
      <c r="E837" s="39"/>
      <c r="F837" s="194"/>
      <c r="G837" s="195"/>
      <c r="H837" s="38"/>
      <c r="I837" s="38"/>
      <c r="J837" s="38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 x14ac:dyDescent="0.25">
      <c r="A838" s="193"/>
      <c r="B838" s="39"/>
      <c r="C838" s="39"/>
      <c r="D838" s="39"/>
      <c r="E838" s="39"/>
      <c r="F838" s="194"/>
      <c r="G838" s="195"/>
      <c r="H838" s="38"/>
      <c r="I838" s="38"/>
      <c r="J838" s="38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 x14ac:dyDescent="0.25">
      <c r="A839" s="193"/>
      <c r="B839" s="39"/>
      <c r="C839" s="39"/>
      <c r="D839" s="39"/>
      <c r="E839" s="39"/>
      <c r="F839" s="194"/>
      <c r="G839" s="195"/>
      <c r="H839" s="38"/>
      <c r="I839" s="38"/>
      <c r="J839" s="38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 x14ac:dyDescent="0.25">
      <c r="A840" s="193"/>
      <c r="B840" s="39"/>
      <c r="C840" s="39"/>
      <c r="D840" s="39"/>
      <c r="E840" s="39"/>
      <c r="F840" s="194"/>
      <c r="G840" s="195"/>
      <c r="H840" s="38"/>
      <c r="I840" s="38"/>
      <c r="J840" s="38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 x14ac:dyDescent="0.25">
      <c r="A841" s="193"/>
      <c r="B841" s="39"/>
      <c r="C841" s="39"/>
      <c r="D841" s="39"/>
      <c r="E841" s="39"/>
      <c r="F841" s="194"/>
      <c r="G841" s="195"/>
      <c r="H841" s="38"/>
      <c r="I841" s="38"/>
      <c r="J841" s="38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 x14ac:dyDescent="0.25">
      <c r="A842" s="193"/>
      <c r="B842" s="39"/>
      <c r="C842" s="39"/>
      <c r="D842" s="39"/>
      <c r="E842" s="39"/>
      <c r="F842" s="194"/>
      <c r="G842" s="195"/>
      <c r="H842" s="38"/>
      <c r="I842" s="38"/>
      <c r="J842" s="38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 x14ac:dyDescent="0.25">
      <c r="A843" s="193"/>
      <c r="B843" s="39"/>
      <c r="C843" s="39"/>
      <c r="D843" s="39"/>
      <c r="E843" s="39"/>
      <c r="F843" s="194"/>
      <c r="G843" s="195"/>
      <c r="H843" s="38"/>
      <c r="I843" s="38"/>
      <c r="J843" s="38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 x14ac:dyDescent="0.25">
      <c r="A844" s="193"/>
      <c r="B844" s="39"/>
      <c r="C844" s="39"/>
      <c r="D844" s="39"/>
      <c r="E844" s="39"/>
      <c r="F844" s="194"/>
      <c r="G844" s="195"/>
      <c r="H844" s="38"/>
      <c r="I844" s="38"/>
      <c r="J844" s="38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 x14ac:dyDescent="0.25">
      <c r="A845" s="193"/>
      <c r="B845" s="39"/>
      <c r="C845" s="39"/>
      <c r="D845" s="39"/>
      <c r="E845" s="39"/>
      <c r="F845" s="194"/>
      <c r="G845" s="195"/>
      <c r="H845" s="38"/>
      <c r="I845" s="38"/>
      <c r="J845" s="38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 x14ac:dyDescent="0.25">
      <c r="A846" s="193"/>
      <c r="B846" s="39"/>
      <c r="C846" s="39"/>
      <c r="D846" s="39"/>
      <c r="E846" s="39"/>
      <c r="F846" s="194"/>
      <c r="G846" s="195"/>
      <c r="H846" s="38"/>
      <c r="I846" s="38"/>
      <c r="J846" s="38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 x14ac:dyDescent="0.25">
      <c r="A847" s="193"/>
      <c r="B847" s="39"/>
      <c r="C847" s="39"/>
      <c r="D847" s="39"/>
      <c r="E847" s="39"/>
      <c r="F847" s="194"/>
      <c r="G847" s="195"/>
      <c r="H847" s="38"/>
      <c r="I847" s="38"/>
      <c r="J847" s="38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 x14ac:dyDescent="0.25">
      <c r="A848" s="193"/>
      <c r="B848" s="39"/>
      <c r="C848" s="39"/>
      <c r="D848" s="39"/>
      <c r="E848" s="39"/>
      <c r="F848" s="194"/>
      <c r="G848" s="195"/>
      <c r="H848" s="38"/>
      <c r="I848" s="38"/>
      <c r="J848" s="38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 x14ac:dyDescent="0.25">
      <c r="A849" s="193"/>
      <c r="B849" s="39"/>
      <c r="C849" s="39"/>
      <c r="D849" s="39"/>
      <c r="E849" s="39"/>
      <c r="F849" s="194"/>
      <c r="G849" s="195"/>
      <c r="H849" s="38"/>
      <c r="I849" s="38"/>
      <c r="J849" s="38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 x14ac:dyDescent="0.25">
      <c r="A850" s="193"/>
      <c r="B850" s="39"/>
      <c r="C850" s="39"/>
      <c r="D850" s="39"/>
      <c r="E850" s="39"/>
      <c r="F850" s="194"/>
      <c r="G850" s="195"/>
      <c r="H850" s="38"/>
      <c r="I850" s="38"/>
      <c r="J850" s="38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 x14ac:dyDescent="0.25">
      <c r="A851" s="193"/>
      <c r="B851" s="39"/>
      <c r="C851" s="39"/>
      <c r="D851" s="39"/>
      <c r="E851" s="39"/>
      <c r="F851" s="194"/>
      <c r="G851" s="195"/>
      <c r="H851" s="38"/>
      <c r="I851" s="38"/>
      <c r="J851" s="38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 x14ac:dyDescent="0.25">
      <c r="A852" s="193"/>
      <c r="B852" s="39"/>
      <c r="C852" s="39"/>
      <c r="D852" s="39"/>
      <c r="E852" s="39"/>
      <c r="F852" s="194"/>
      <c r="G852" s="195"/>
      <c r="H852" s="38"/>
      <c r="I852" s="38"/>
      <c r="J852" s="38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 x14ac:dyDescent="0.25">
      <c r="A853" s="193"/>
      <c r="B853" s="39"/>
      <c r="C853" s="39"/>
      <c r="D853" s="39"/>
      <c r="E853" s="39"/>
      <c r="F853" s="194"/>
      <c r="G853" s="195"/>
      <c r="H853" s="38"/>
      <c r="I853" s="38"/>
      <c r="J853" s="38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 x14ac:dyDescent="0.25">
      <c r="A854" s="193"/>
      <c r="B854" s="39"/>
      <c r="C854" s="39"/>
      <c r="D854" s="39"/>
      <c r="E854" s="39"/>
      <c r="F854" s="194"/>
      <c r="G854" s="195"/>
      <c r="H854" s="38"/>
      <c r="I854" s="38"/>
      <c r="J854" s="38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 x14ac:dyDescent="0.25">
      <c r="A855" s="193"/>
      <c r="B855" s="39"/>
      <c r="C855" s="39"/>
      <c r="D855" s="39"/>
      <c r="E855" s="39"/>
      <c r="F855" s="194"/>
      <c r="G855" s="195"/>
      <c r="H855" s="38"/>
      <c r="I855" s="38"/>
      <c r="J855" s="38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 x14ac:dyDescent="0.25">
      <c r="A856" s="193"/>
      <c r="B856" s="39"/>
      <c r="C856" s="39"/>
      <c r="D856" s="39"/>
      <c r="E856" s="39"/>
      <c r="F856" s="194"/>
      <c r="G856" s="195"/>
      <c r="H856" s="38"/>
      <c r="I856" s="38"/>
      <c r="J856" s="38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 x14ac:dyDescent="0.25">
      <c r="A857" s="193"/>
      <c r="B857" s="39"/>
      <c r="C857" s="39"/>
      <c r="D857" s="39"/>
      <c r="E857" s="39"/>
      <c r="F857" s="194"/>
      <c r="G857" s="195"/>
      <c r="H857" s="38"/>
      <c r="I857" s="38"/>
      <c r="J857" s="38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 x14ac:dyDescent="0.25">
      <c r="A858" s="193"/>
      <c r="B858" s="39"/>
      <c r="C858" s="39"/>
      <c r="D858" s="39"/>
      <c r="E858" s="39"/>
      <c r="F858" s="194"/>
      <c r="G858" s="195"/>
      <c r="H858" s="38"/>
      <c r="I858" s="38"/>
      <c r="J858" s="38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 x14ac:dyDescent="0.25">
      <c r="A859" s="193"/>
      <c r="B859" s="39"/>
      <c r="C859" s="39"/>
      <c r="D859" s="39"/>
      <c r="E859" s="39"/>
      <c r="F859" s="194"/>
      <c r="G859" s="195"/>
      <c r="H859" s="38"/>
      <c r="I859" s="38"/>
      <c r="J859" s="38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 x14ac:dyDescent="0.25">
      <c r="A860" s="193"/>
      <c r="B860" s="39"/>
      <c r="C860" s="39"/>
      <c r="D860" s="39"/>
      <c r="E860" s="39"/>
      <c r="F860" s="194"/>
      <c r="G860" s="195"/>
      <c r="H860" s="38"/>
      <c r="I860" s="38"/>
      <c r="J860" s="38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 x14ac:dyDescent="0.25">
      <c r="A861" s="193"/>
      <c r="B861" s="39"/>
      <c r="C861" s="39"/>
      <c r="D861" s="39"/>
      <c r="E861" s="39"/>
      <c r="F861" s="194"/>
      <c r="G861" s="195"/>
      <c r="H861" s="38"/>
      <c r="I861" s="38"/>
      <c r="J861" s="38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 x14ac:dyDescent="0.25">
      <c r="A862" s="193"/>
      <c r="B862" s="39"/>
      <c r="C862" s="39"/>
      <c r="D862" s="39"/>
      <c r="E862" s="39"/>
      <c r="F862" s="194"/>
      <c r="G862" s="195"/>
      <c r="H862" s="38"/>
      <c r="I862" s="38"/>
      <c r="J862" s="38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 x14ac:dyDescent="0.25">
      <c r="A863" s="193"/>
      <c r="B863" s="39"/>
      <c r="C863" s="39"/>
      <c r="D863" s="39"/>
      <c r="E863" s="39"/>
      <c r="F863" s="194"/>
      <c r="G863" s="195"/>
      <c r="H863" s="38"/>
      <c r="I863" s="38"/>
      <c r="J863" s="38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 x14ac:dyDescent="0.25">
      <c r="A864" s="193"/>
      <c r="B864" s="39"/>
      <c r="C864" s="39"/>
      <c r="D864" s="39"/>
      <c r="E864" s="39"/>
      <c r="F864" s="194"/>
      <c r="G864" s="195"/>
      <c r="H864" s="38"/>
      <c r="I864" s="38"/>
      <c r="J864" s="38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 x14ac:dyDescent="0.25">
      <c r="A865" s="193"/>
      <c r="B865" s="39"/>
      <c r="C865" s="39"/>
      <c r="D865" s="39"/>
      <c r="E865" s="39"/>
      <c r="F865" s="194"/>
      <c r="G865" s="195"/>
      <c r="H865" s="38"/>
      <c r="I865" s="38"/>
      <c r="J865" s="38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 x14ac:dyDescent="0.25">
      <c r="A866" s="193"/>
      <c r="B866" s="39"/>
      <c r="C866" s="39"/>
      <c r="D866" s="39"/>
      <c r="E866" s="39"/>
      <c r="F866" s="194"/>
      <c r="G866" s="195"/>
      <c r="H866" s="38"/>
      <c r="I866" s="38"/>
      <c r="J866" s="38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 x14ac:dyDescent="0.25">
      <c r="A867" s="193"/>
      <c r="B867" s="39"/>
      <c r="C867" s="39"/>
      <c r="D867" s="39"/>
      <c r="E867" s="39"/>
      <c r="F867" s="194"/>
      <c r="G867" s="195"/>
      <c r="H867" s="38"/>
      <c r="I867" s="38"/>
      <c r="J867" s="38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 x14ac:dyDescent="0.25">
      <c r="A868" s="193"/>
      <c r="B868" s="39"/>
      <c r="C868" s="39"/>
      <c r="D868" s="39"/>
      <c r="E868" s="39"/>
      <c r="F868" s="194"/>
      <c r="G868" s="195"/>
      <c r="H868" s="38"/>
      <c r="I868" s="38"/>
      <c r="J868" s="38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 x14ac:dyDescent="0.25">
      <c r="A869" s="193"/>
      <c r="B869" s="39"/>
      <c r="C869" s="39"/>
      <c r="D869" s="39"/>
      <c r="E869" s="39"/>
      <c r="F869" s="194"/>
      <c r="G869" s="195"/>
      <c r="H869" s="38"/>
      <c r="I869" s="38"/>
      <c r="J869" s="38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 x14ac:dyDescent="0.25">
      <c r="A870" s="193"/>
      <c r="B870" s="39"/>
      <c r="C870" s="39"/>
      <c r="D870" s="39"/>
      <c r="E870" s="39"/>
      <c r="F870" s="194"/>
      <c r="G870" s="195"/>
      <c r="H870" s="38"/>
      <c r="I870" s="38"/>
      <c r="J870" s="38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 x14ac:dyDescent="0.25">
      <c r="A871" s="193"/>
      <c r="B871" s="39"/>
      <c r="C871" s="39"/>
      <c r="D871" s="39"/>
      <c r="E871" s="39"/>
      <c r="F871" s="194"/>
      <c r="G871" s="195"/>
      <c r="H871" s="38"/>
      <c r="I871" s="38"/>
      <c r="J871" s="38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 x14ac:dyDescent="0.25">
      <c r="A872" s="193"/>
      <c r="B872" s="39"/>
      <c r="C872" s="39"/>
      <c r="D872" s="39"/>
      <c r="E872" s="39"/>
      <c r="F872" s="194"/>
      <c r="G872" s="195"/>
      <c r="H872" s="38"/>
      <c r="I872" s="38"/>
      <c r="J872" s="38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 x14ac:dyDescent="0.25">
      <c r="A873" s="193"/>
      <c r="B873" s="39"/>
      <c r="C873" s="39"/>
      <c r="D873" s="39"/>
      <c r="E873" s="39"/>
      <c r="F873" s="194"/>
      <c r="G873" s="195"/>
      <c r="H873" s="38"/>
      <c r="I873" s="38"/>
      <c r="J873" s="38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 x14ac:dyDescent="0.25">
      <c r="A874" s="193"/>
      <c r="B874" s="39"/>
      <c r="C874" s="39"/>
      <c r="D874" s="39"/>
      <c r="E874" s="39"/>
      <c r="F874" s="194"/>
      <c r="G874" s="195"/>
      <c r="H874" s="38"/>
      <c r="I874" s="38"/>
      <c r="J874" s="38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 x14ac:dyDescent="0.25">
      <c r="A875" s="193"/>
      <c r="B875" s="39"/>
      <c r="C875" s="39"/>
      <c r="D875" s="39"/>
      <c r="E875" s="39"/>
      <c r="F875" s="194"/>
      <c r="G875" s="195"/>
      <c r="H875" s="38"/>
      <c r="I875" s="38"/>
      <c r="J875" s="38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 x14ac:dyDescent="0.25">
      <c r="A876" s="193"/>
      <c r="B876" s="39"/>
      <c r="C876" s="39"/>
      <c r="D876" s="39"/>
      <c r="E876" s="39"/>
      <c r="F876" s="194"/>
      <c r="G876" s="195"/>
      <c r="H876" s="38"/>
      <c r="I876" s="38"/>
      <c r="J876" s="38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 x14ac:dyDescent="0.25">
      <c r="A877" s="193"/>
      <c r="B877" s="39"/>
      <c r="C877" s="39"/>
      <c r="D877" s="39"/>
      <c r="E877" s="39"/>
      <c r="F877" s="194"/>
      <c r="G877" s="195"/>
      <c r="H877" s="38"/>
      <c r="I877" s="38"/>
      <c r="J877" s="38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 x14ac:dyDescent="0.25">
      <c r="A878" s="193"/>
      <c r="B878" s="39"/>
      <c r="C878" s="39"/>
      <c r="D878" s="39"/>
      <c r="E878" s="39"/>
      <c r="F878" s="194"/>
      <c r="G878" s="195"/>
      <c r="H878" s="38"/>
      <c r="I878" s="38"/>
      <c r="J878" s="38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 x14ac:dyDescent="0.25">
      <c r="A879" s="193"/>
      <c r="B879" s="39"/>
      <c r="C879" s="39"/>
      <c r="D879" s="39"/>
      <c r="E879" s="39"/>
      <c r="F879" s="194"/>
      <c r="G879" s="195"/>
      <c r="H879" s="38"/>
      <c r="I879" s="38"/>
      <c r="J879" s="38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 x14ac:dyDescent="0.25">
      <c r="A880" s="193"/>
      <c r="B880" s="39"/>
      <c r="C880" s="39"/>
      <c r="D880" s="39"/>
      <c r="E880" s="39"/>
      <c r="F880" s="194"/>
      <c r="G880" s="195"/>
      <c r="H880" s="38"/>
      <c r="I880" s="38"/>
      <c r="J880" s="38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 x14ac:dyDescent="0.25">
      <c r="A881" s="193"/>
      <c r="B881" s="39"/>
      <c r="C881" s="39"/>
      <c r="D881" s="39"/>
      <c r="E881" s="39"/>
      <c r="F881" s="194"/>
      <c r="G881" s="195"/>
      <c r="H881" s="38"/>
      <c r="I881" s="38"/>
      <c r="J881" s="38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 x14ac:dyDescent="0.25">
      <c r="A882" s="193"/>
      <c r="B882" s="39"/>
      <c r="C882" s="39"/>
      <c r="D882" s="39"/>
      <c r="E882" s="39"/>
      <c r="F882" s="194"/>
      <c r="G882" s="195"/>
      <c r="H882" s="38"/>
      <c r="I882" s="38"/>
      <c r="J882" s="38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 x14ac:dyDescent="0.25">
      <c r="A883" s="193"/>
      <c r="B883" s="39"/>
      <c r="C883" s="39"/>
      <c r="D883" s="39"/>
      <c r="E883" s="39"/>
      <c r="F883" s="194"/>
      <c r="G883" s="195"/>
      <c r="H883" s="38"/>
      <c r="I883" s="38"/>
      <c r="J883" s="38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 x14ac:dyDescent="0.25">
      <c r="A884" s="193"/>
      <c r="B884" s="39"/>
      <c r="C884" s="39"/>
      <c r="D884" s="39"/>
      <c r="E884" s="39"/>
      <c r="F884" s="194"/>
      <c r="G884" s="195"/>
      <c r="H884" s="38"/>
      <c r="I884" s="38"/>
      <c r="J884" s="38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 x14ac:dyDescent="0.25">
      <c r="A885" s="193"/>
      <c r="B885" s="39"/>
      <c r="C885" s="39"/>
      <c r="D885" s="39"/>
      <c r="E885" s="39"/>
      <c r="F885" s="194"/>
      <c r="G885" s="195"/>
      <c r="H885" s="38"/>
      <c r="I885" s="38"/>
      <c r="J885" s="38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 x14ac:dyDescent="0.25">
      <c r="A886" s="193"/>
      <c r="B886" s="39"/>
      <c r="C886" s="39"/>
      <c r="D886" s="39"/>
      <c r="E886" s="39"/>
      <c r="F886" s="194"/>
      <c r="G886" s="195"/>
      <c r="H886" s="38"/>
      <c r="I886" s="38"/>
      <c r="J886" s="38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 x14ac:dyDescent="0.25">
      <c r="A887" s="193"/>
      <c r="B887" s="39"/>
      <c r="C887" s="39"/>
      <c r="D887" s="39"/>
      <c r="E887" s="39"/>
      <c r="F887" s="194"/>
      <c r="G887" s="195"/>
      <c r="H887" s="38"/>
      <c r="I887" s="38"/>
      <c r="J887" s="38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 x14ac:dyDescent="0.25">
      <c r="A888" s="193"/>
      <c r="B888" s="39"/>
      <c r="C888" s="39"/>
      <c r="D888" s="39"/>
      <c r="E888" s="39"/>
      <c r="F888" s="194"/>
      <c r="G888" s="195"/>
      <c r="H888" s="38"/>
      <c r="I888" s="38"/>
      <c r="J888" s="38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 x14ac:dyDescent="0.25">
      <c r="A889" s="193"/>
      <c r="B889" s="39"/>
      <c r="C889" s="39"/>
      <c r="D889" s="39"/>
      <c r="E889" s="39"/>
      <c r="F889" s="194"/>
      <c r="G889" s="195"/>
      <c r="H889" s="38"/>
      <c r="I889" s="38"/>
      <c r="J889" s="38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 x14ac:dyDescent="0.25">
      <c r="A890" s="193"/>
      <c r="B890" s="39"/>
      <c r="C890" s="39"/>
      <c r="D890" s="39"/>
      <c r="E890" s="39"/>
      <c r="F890" s="194"/>
      <c r="G890" s="195"/>
      <c r="H890" s="38"/>
      <c r="I890" s="38"/>
      <c r="J890" s="38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 x14ac:dyDescent="0.25">
      <c r="A891" s="193"/>
      <c r="B891" s="39"/>
      <c r="C891" s="39"/>
      <c r="D891" s="39"/>
      <c r="E891" s="39"/>
      <c r="F891" s="194"/>
      <c r="G891" s="195"/>
      <c r="H891" s="38"/>
      <c r="I891" s="38"/>
      <c r="J891" s="38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 x14ac:dyDescent="0.25">
      <c r="A892" s="193"/>
      <c r="B892" s="39"/>
      <c r="C892" s="39"/>
      <c r="D892" s="39"/>
      <c r="E892" s="39"/>
      <c r="F892" s="194"/>
      <c r="G892" s="195"/>
      <c r="H892" s="38"/>
      <c r="I892" s="38"/>
      <c r="J892" s="38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 x14ac:dyDescent="0.25">
      <c r="A893" s="193"/>
      <c r="B893" s="39"/>
      <c r="C893" s="39"/>
      <c r="D893" s="39"/>
      <c r="E893" s="39"/>
      <c r="F893" s="194"/>
      <c r="G893" s="195"/>
      <c r="H893" s="38"/>
      <c r="I893" s="38"/>
      <c r="J893" s="38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 x14ac:dyDescent="0.25">
      <c r="A894" s="193"/>
      <c r="B894" s="39"/>
      <c r="C894" s="39"/>
      <c r="D894" s="39"/>
      <c r="E894" s="39"/>
      <c r="F894" s="194"/>
      <c r="G894" s="195"/>
      <c r="H894" s="38"/>
      <c r="I894" s="38"/>
      <c r="J894" s="38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 x14ac:dyDescent="0.25">
      <c r="A895" s="193"/>
      <c r="B895" s="39"/>
      <c r="C895" s="39"/>
      <c r="D895" s="39"/>
      <c r="E895" s="39"/>
      <c r="F895" s="194"/>
      <c r="G895" s="195"/>
      <c r="H895" s="38"/>
      <c r="I895" s="38"/>
      <c r="J895" s="38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 x14ac:dyDescent="0.25">
      <c r="A896" s="193"/>
      <c r="B896" s="39"/>
      <c r="C896" s="39"/>
      <c r="D896" s="39"/>
      <c r="E896" s="39"/>
      <c r="F896" s="194"/>
      <c r="G896" s="195"/>
      <c r="H896" s="38"/>
      <c r="I896" s="38"/>
      <c r="J896" s="38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 x14ac:dyDescent="0.25">
      <c r="A897" s="193"/>
      <c r="B897" s="39"/>
      <c r="C897" s="39"/>
      <c r="D897" s="39"/>
      <c r="E897" s="39"/>
      <c r="F897" s="194"/>
      <c r="G897" s="195"/>
      <c r="H897" s="38"/>
      <c r="I897" s="38"/>
      <c r="J897" s="38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 x14ac:dyDescent="0.25">
      <c r="A898" s="193"/>
      <c r="B898" s="39"/>
      <c r="C898" s="39"/>
      <c r="D898" s="39"/>
      <c r="E898" s="39"/>
      <c r="F898" s="194"/>
      <c r="G898" s="195"/>
      <c r="H898" s="38"/>
      <c r="I898" s="38"/>
      <c r="J898" s="38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 x14ac:dyDescent="0.25">
      <c r="A899" s="193"/>
      <c r="B899" s="39"/>
      <c r="C899" s="39"/>
      <c r="D899" s="39"/>
      <c r="E899" s="39"/>
      <c r="F899" s="194"/>
      <c r="G899" s="195"/>
      <c r="H899" s="38"/>
      <c r="I899" s="38"/>
      <c r="J899" s="38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 x14ac:dyDescent="0.25">
      <c r="A900" s="193"/>
      <c r="B900" s="39"/>
      <c r="C900" s="39"/>
      <c r="D900" s="39"/>
      <c r="E900" s="39"/>
      <c r="F900" s="194"/>
      <c r="G900" s="195"/>
      <c r="H900" s="38"/>
      <c r="I900" s="38"/>
      <c r="J900" s="38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 x14ac:dyDescent="0.25">
      <c r="A901" s="193"/>
      <c r="B901" s="39"/>
      <c r="C901" s="39"/>
      <c r="D901" s="39"/>
      <c r="E901" s="39"/>
      <c r="F901" s="194"/>
      <c r="G901" s="195"/>
      <c r="H901" s="38"/>
      <c r="I901" s="38"/>
      <c r="J901" s="38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 x14ac:dyDescent="0.25">
      <c r="A902" s="193"/>
      <c r="B902" s="39"/>
      <c r="C902" s="39"/>
      <c r="D902" s="39"/>
      <c r="E902" s="39"/>
      <c r="F902" s="194"/>
      <c r="G902" s="195"/>
      <c r="H902" s="38"/>
      <c r="I902" s="38"/>
      <c r="J902" s="38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 x14ac:dyDescent="0.25">
      <c r="A903" s="193"/>
      <c r="B903" s="39"/>
      <c r="C903" s="39"/>
      <c r="D903" s="39"/>
      <c r="E903" s="39"/>
      <c r="F903" s="194"/>
      <c r="G903" s="195"/>
      <c r="H903" s="38"/>
      <c r="I903" s="38"/>
      <c r="J903" s="38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 x14ac:dyDescent="0.25">
      <c r="A904" s="193"/>
      <c r="B904" s="39"/>
      <c r="C904" s="39"/>
      <c r="D904" s="39"/>
      <c r="E904" s="39"/>
      <c r="F904" s="194"/>
      <c r="G904" s="195"/>
      <c r="H904" s="38"/>
      <c r="I904" s="38"/>
      <c r="J904" s="38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 x14ac:dyDescent="0.25">
      <c r="A905" s="193"/>
      <c r="B905" s="39"/>
      <c r="C905" s="39"/>
      <c r="D905" s="39"/>
      <c r="E905" s="39"/>
      <c r="F905" s="194"/>
      <c r="G905" s="195"/>
      <c r="H905" s="38"/>
      <c r="I905" s="38"/>
      <c r="J905" s="38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 x14ac:dyDescent="0.25">
      <c r="A906" s="193"/>
      <c r="B906" s="39"/>
      <c r="C906" s="39"/>
      <c r="D906" s="39"/>
      <c r="E906" s="39"/>
      <c r="F906" s="194"/>
      <c r="G906" s="195"/>
      <c r="H906" s="38"/>
      <c r="I906" s="38"/>
      <c r="J906" s="38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 x14ac:dyDescent="0.25">
      <c r="A907" s="193"/>
      <c r="B907" s="39"/>
      <c r="C907" s="39"/>
      <c r="D907" s="39"/>
      <c r="E907" s="39"/>
      <c r="F907" s="194"/>
      <c r="G907" s="195"/>
      <c r="H907" s="38"/>
      <c r="I907" s="38"/>
      <c r="J907" s="38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 x14ac:dyDescent="0.25">
      <c r="A908" s="193"/>
      <c r="B908" s="39"/>
      <c r="C908" s="39"/>
      <c r="D908" s="39"/>
      <c r="E908" s="39"/>
      <c r="F908" s="194"/>
      <c r="G908" s="195"/>
      <c r="H908" s="38"/>
      <c r="I908" s="38"/>
      <c r="J908" s="38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 x14ac:dyDescent="0.25">
      <c r="A909" s="193"/>
      <c r="B909" s="39"/>
      <c r="C909" s="39"/>
      <c r="D909" s="39"/>
      <c r="E909" s="39"/>
      <c r="F909" s="194"/>
      <c r="G909" s="195"/>
      <c r="H909" s="38"/>
      <c r="I909" s="38"/>
      <c r="J909" s="38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 x14ac:dyDescent="0.25">
      <c r="A910" s="193"/>
      <c r="B910" s="39"/>
      <c r="C910" s="39"/>
      <c r="D910" s="39"/>
      <c r="E910" s="39"/>
      <c r="F910" s="194"/>
      <c r="G910" s="195"/>
      <c r="H910" s="38"/>
      <c r="I910" s="38"/>
      <c r="J910" s="38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 x14ac:dyDescent="0.25">
      <c r="A911" s="193"/>
      <c r="B911" s="39"/>
      <c r="C911" s="39"/>
      <c r="D911" s="39"/>
      <c r="E911" s="39"/>
      <c r="F911" s="194"/>
      <c r="G911" s="195"/>
      <c r="H911" s="38"/>
      <c r="I911" s="38"/>
      <c r="J911" s="38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 x14ac:dyDescent="0.25">
      <c r="A912" s="193"/>
      <c r="B912" s="39"/>
      <c r="C912" s="39"/>
      <c r="D912" s="39"/>
      <c r="E912" s="39"/>
      <c r="F912" s="194"/>
      <c r="G912" s="195"/>
      <c r="H912" s="38"/>
      <c r="I912" s="38"/>
      <c r="J912" s="38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 x14ac:dyDescent="0.25">
      <c r="A913" s="193"/>
      <c r="B913" s="39"/>
      <c r="C913" s="39"/>
      <c r="D913" s="39"/>
      <c r="E913" s="39"/>
      <c r="F913" s="194"/>
      <c r="G913" s="195"/>
      <c r="H913" s="38"/>
      <c r="I913" s="38"/>
      <c r="J913" s="38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 x14ac:dyDescent="0.25">
      <c r="A914" s="193"/>
      <c r="B914" s="39"/>
      <c r="C914" s="39"/>
      <c r="D914" s="39"/>
      <c r="E914" s="39"/>
      <c r="F914" s="194"/>
      <c r="G914" s="195"/>
      <c r="H914" s="38"/>
      <c r="I914" s="38"/>
      <c r="J914" s="38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 x14ac:dyDescent="0.25">
      <c r="A915" s="193"/>
      <c r="B915" s="39"/>
      <c r="C915" s="39"/>
      <c r="D915" s="39"/>
      <c r="E915" s="39"/>
      <c r="F915" s="194"/>
      <c r="G915" s="195"/>
      <c r="H915" s="38"/>
      <c r="I915" s="38"/>
      <c r="J915" s="38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 x14ac:dyDescent="0.25">
      <c r="A916" s="193"/>
      <c r="B916" s="39"/>
      <c r="C916" s="39"/>
      <c r="D916" s="39"/>
      <c r="E916" s="39"/>
      <c r="F916" s="194"/>
      <c r="G916" s="195"/>
      <c r="H916" s="38"/>
      <c r="I916" s="38"/>
      <c r="J916" s="38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 x14ac:dyDescent="0.25">
      <c r="A917" s="193"/>
      <c r="B917" s="39"/>
      <c r="C917" s="39"/>
      <c r="D917" s="39"/>
      <c r="E917" s="39"/>
      <c r="F917" s="194"/>
      <c r="G917" s="195"/>
      <c r="H917" s="38"/>
      <c r="I917" s="38"/>
      <c r="J917" s="38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 x14ac:dyDescent="0.25">
      <c r="A918" s="193"/>
      <c r="B918" s="39"/>
      <c r="C918" s="39"/>
      <c r="D918" s="39"/>
      <c r="E918" s="39"/>
      <c r="F918" s="194"/>
      <c r="G918" s="195"/>
      <c r="H918" s="38"/>
      <c r="I918" s="38"/>
      <c r="J918" s="38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 x14ac:dyDescent="0.25">
      <c r="A919" s="193"/>
      <c r="B919" s="39"/>
      <c r="C919" s="39"/>
      <c r="D919" s="39"/>
      <c r="E919" s="39"/>
      <c r="F919" s="194"/>
      <c r="G919" s="195"/>
      <c r="H919" s="38"/>
      <c r="I919" s="38"/>
      <c r="J919" s="38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 x14ac:dyDescent="0.25">
      <c r="A920" s="193"/>
      <c r="B920" s="39"/>
      <c r="C920" s="39"/>
      <c r="D920" s="39"/>
      <c r="E920" s="39"/>
      <c r="F920" s="194"/>
      <c r="G920" s="195"/>
      <c r="H920" s="38"/>
      <c r="I920" s="38"/>
      <c r="J920" s="38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 x14ac:dyDescent="0.25">
      <c r="A921" s="193"/>
      <c r="B921" s="39"/>
      <c r="C921" s="39"/>
      <c r="D921" s="39"/>
      <c r="E921" s="39"/>
      <c r="F921" s="194"/>
      <c r="G921" s="195"/>
      <c r="H921" s="38"/>
      <c r="I921" s="38"/>
      <c r="J921" s="38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 x14ac:dyDescent="0.25">
      <c r="A922" s="193"/>
      <c r="B922" s="39"/>
      <c r="C922" s="39"/>
      <c r="D922" s="39"/>
      <c r="E922" s="39"/>
      <c r="F922" s="194"/>
      <c r="G922" s="195"/>
      <c r="H922" s="38"/>
      <c r="I922" s="38"/>
      <c r="J922" s="38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 x14ac:dyDescent="0.25">
      <c r="A923" s="193"/>
      <c r="B923" s="39"/>
      <c r="C923" s="39"/>
      <c r="D923" s="39"/>
      <c r="E923" s="39"/>
      <c r="F923" s="194"/>
      <c r="G923" s="195"/>
      <c r="H923" s="38"/>
      <c r="I923" s="38"/>
      <c r="J923" s="38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 x14ac:dyDescent="0.25">
      <c r="A924" s="193"/>
      <c r="B924" s="39"/>
      <c r="C924" s="39"/>
      <c r="D924" s="39"/>
      <c r="E924" s="39"/>
      <c r="F924" s="194"/>
      <c r="G924" s="195"/>
      <c r="H924" s="38"/>
      <c r="I924" s="38"/>
      <c r="J924" s="38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 x14ac:dyDescent="0.25">
      <c r="A925" s="193"/>
      <c r="B925" s="39"/>
      <c r="C925" s="39"/>
      <c r="D925" s="39"/>
      <c r="E925" s="39"/>
      <c r="F925" s="194"/>
      <c r="G925" s="195"/>
      <c r="H925" s="38"/>
      <c r="I925" s="38"/>
      <c r="J925" s="38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 x14ac:dyDescent="0.25">
      <c r="A926" s="193"/>
      <c r="B926" s="39"/>
      <c r="C926" s="39"/>
      <c r="D926" s="39"/>
      <c r="E926" s="39"/>
      <c r="F926" s="194"/>
      <c r="G926" s="195"/>
      <c r="H926" s="38"/>
      <c r="I926" s="38"/>
      <c r="J926" s="38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 x14ac:dyDescent="0.25">
      <c r="A927" s="193"/>
      <c r="B927" s="39"/>
      <c r="C927" s="39"/>
      <c r="D927" s="39"/>
      <c r="E927" s="39"/>
      <c r="F927" s="194"/>
      <c r="G927" s="195"/>
      <c r="H927" s="38"/>
      <c r="I927" s="38"/>
      <c r="J927" s="38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 x14ac:dyDescent="0.25">
      <c r="A928" s="193"/>
      <c r="B928" s="39"/>
      <c r="C928" s="39"/>
      <c r="D928" s="39"/>
      <c r="E928" s="39"/>
      <c r="F928" s="194"/>
      <c r="G928" s="195"/>
      <c r="H928" s="38"/>
      <c r="I928" s="38"/>
      <c r="J928" s="38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 x14ac:dyDescent="0.25">
      <c r="A929" s="193"/>
      <c r="B929" s="39"/>
      <c r="C929" s="39"/>
      <c r="D929" s="39"/>
      <c r="E929" s="39"/>
      <c r="F929" s="194"/>
      <c r="G929" s="195"/>
      <c r="H929" s="38"/>
      <c r="I929" s="38"/>
      <c r="J929" s="38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 x14ac:dyDescent="0.25">
      <c r="A930" s="193"/>
      <c r="B930" s="39"/>
      <c r="C930" s="39"/>
      <c r="D930" s="39"/>
      <c r="E930" s="39"/>
      <c r="F930" s="194"/>
      <c r="G930" s="195"/>
      <c r="H930" s="38"/>
      <c r="I930" s="38"/>
      <c r="J930" s="38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 x14ac:dyDescent="0.25">
      <c r="A931" s="193"/>
      <c r="B931" s="39"/>
      <c r="C931" s="39"/>
      <c r="D931" s="39"/>
      <c r="E931" s="39"/>
      <c r="F931" s="194"/>
      <c r="G931" s="195"/>
      <c r="H931" s="38"/>
      <c r="I931" s="38"/>
      <c r="J931" s="38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 x14ac:dyDescent="0.25">
      <c r="A932" s="193"/>
      <c r="B932" s="39"/>
      <c r="C932" s="39"/>
      <c r="D932" s="39"/>
      <c r="E932" s="39"/>
      <c r="F932" s="194"/>
      <c r="G932" s="195"/>
      <c r="H932" s="38"/>
      <c r="I932" s="38"/>
      <c r="J932" s="38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 x14ac:dyDescent="0.25">
      <c r="A933" s="193"/>
      <c r="B933" s="39"/>
      <c r="C933" s="39"/>
      <c r="D933" s="39"/>
      <c r="E933" s="39"/>
      <c r="F933" s="194"/>
      <c r="G933" s="195"/>
      <c r="H933" s="38"/>
      <c r="I933" s="38"/>
      <c r="J933" s="38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 x14ac:dyDescent="0.25">
      <c r="A934" s="193"/>
      <c r="B934" s="39"/>
      <c r="C934" s="39"/>
      <c r="D934" s="39"/>
      <c r="E934" s="39"/>
      <c r="F934" s="194"/>
      <c r="G934" s="195"/>
      <c r="H934" s="38"/>
      <c r="I934" s="38"/>
      <c r="J934" s="38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 x14ac:dyDescent="0.25">
      <c r="A935" s="193"/>
      <c r="B935" s="39"/>
      <c r="C935" s="39"/>
      <c r="D935" s="39"/>
      <c r="E935" s="39"/>
      <c r="F935" s="194"/>
      <c r="G935" s="195"/>
      <c r="H935" s="38"/>
      <c r="I935" s="38"/>
      <c r="J935" s="38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 x14ac:dyDescent="0.25">
      <c r="A936" s="193"/>
      <c r="B936" s="39"/>
      <c r="C936" s="39"/>
      <c r="D936" s="39"/>
      <c r="E936" s="39"/>
      <c r="F936" s="194"/>
      <c r="G936" s="195"/>
      <c r="H936" s="38"/>
      <c r="I936" s="38"/>
      <c r="J936" s="38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 x14ac:dyDescent="0.25">
      <c r="A937" s="193"/>
      <c r="B937" s="39"/>
      <c r="C937" s="39"/>
      <c r="D937" s="39"/>
      <c r="E937" s="39"/>
      <c r="F937" s="194"/>
      <c r="G937" s="195"/>
      <c r="H937" s="38"/>
      <c r="I937" s="38"/>
      <c r="J937" s="38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 x14ac:dyDescent="0.25">
      <c r="A938" s="193"/>
      <c r="B938" s="39"/>
      <c r="C938" s="39"/>
      <c r="D938" s="39"/>
      <c r="E938" s="39"/>
      <c r="F938" s="194"/>
      <c r="G938" s="195"/>
      <c r="H938" s="38"/>
      <c r="I938" s="38"/>
      <c r="J938" s="38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 x14ac:dyDescent="0.25">
      <c r="A939" s="193"/>
      <c r="B939" s="39"/>
      <c r="C939" s="39"/>
      <c r="D939" s="39"/>
      <c r="E939" s="39"/>
      <c r="F939" s="194"/>
      <c r="G939" s="195"/>
      <c r="H939" s="38"/>
      <c r="I939" s="38"/>
      <c r="J939" s="38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 x14ac:dyDescent="0.25">
      <c r="A940" s="193"/>
      <c r="B940" s="39"/>
      <c r="C940" s="39"/>
      <c r="D940" s="39"/>
      <c r="E940" s="39"/>
      <c r="F940" s="194"/>
      <c r="G940" s="195"/>
      <c r="H940" s="38"/>
      <c r="I940" s="38"/>
      <c r="J940" s="38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 x14ac:dyDescent="0.25">
      <c r="A941" s="193"/>
      <c r="B941" s="39"/>
      <c r="C941" s="39"/>
      <c r="D941" s="39"/>
      <c r="E941" s="39"/>
      <c r="F941" s="194"/>
      <c r="G941" s="195"/>
      <c r="H941" s="38"/>
      <c r="I941" s="38"/>
      <c r="J941" s="38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 x14ac:dyDescent="0.25">
      <c r="A942" s="193"/>
      <c r="B942" s="39"/>
      <c r="C942" s="39"/>
      <c r="D942" s="39"/>
      <c r="E942" s="39"/>
      <c r="F942" s="194"/>
      <c r="G942" s="195"/>
      <c r="H942" s="38"/>
      <c r="I942" s="38"/>
      <c r="J942" s="38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 x14ac:dyDescent="0.25">
      <c r="A943" s="193"/>
      <c r="B943" s="39"/>
      <c r="C943" s="39"/>
      <c r="D943" s="39"/>
      <c r="E943" s="39"/>
      <c r="F943" s="194"/>
      <c r="G943" s="195"/>
      <c r="H943" s="38"/>
      <c r="I943" s="38"/>
      <c r="J943" s="38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 x14ac:dyDescent="0.25">
      <c r="A944" s="193"/>
      <c r="B944" s="39"/>
      <c r="C944" s="39"/>
      <c r="D944" s="39"/>
      <c r="E944" s="39"/>
      <c r="F944" s="194"/>
      <c r="G944" s="195"/>
      <c r="H944" s="38"/>
      <c r="I944" s="38"/>
      <c r="J944" s="38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 x14ac:dyDescent="0.25">
      <c r="A945" s="193"/>
      <c r="B945" s="39"/>
      <c r="C945" s="39"/>
      <c r="D945" s="39"/>
      <c r="E945" s="39"/>
      <c r="F945" s="194"/>
      <c r="G945" s="195"/>
      <c r="H945" s="38"/>
      <c r="I945" s="38"/>
      <c r="J945" s="38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 x14ac:dyDescent="0.25">
      <c r="A946" s="193"/>
      <c r="B946" s="39"/>
      <c r="C946" s="39"/>
      <c r="D946" s="39"/>
      <c r="E946" s="39"/>
      <c r="F946" s="194"/>
      <c r="G946" s="195"/>
      <c r="H946" s="38"/>
      <c r="I946" s="38"/>
      <c r="J946" s="38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 x14ac:dyDescent="0.25">
      <c r="A947" s="193"/>
      <c r="B947" s="39"/>
      <c r="C947" s="39"/>
      <c r="D947" s="39"/>
      <c r="E947" s="39"/>
      <c r="F947" s="194"/>
      <c r="G947" s="195"/>
      <c r="H947" s="38"/>
      <c r="I947" s="38"/>
      <c r="J947" s="38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 x14ac:dyDescent="0.25">
      <c r="A948" s="193"/>
      <c r="B948" s="39"/>
      <c r="C948" s="39"/>
      <c r="D948" s="39"/>
      <c r="E948" s="39"/>
      <c r="F948" s="194"/>
      <c r="G948" s="195"/>
      <c r="H948" s="38"/>
      <c r="I948" s="38"/>
      <c r="J948" s="38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 x14ac:dyDescent="0.25">
      <c r="A949" s="193"/>
      <c r="B949" s="39"/>
      <c r="C949" s="39"/>
      <c r="D949" s="39"/>
      <c r="E949" s="39"/>
      <c r="F949" s="194"/>
      <c r="G949" s="195"/>
      <c r="H949" s="38"/>
      <c r="I949" s="38"/>
      <c r="J949" s="38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 x14ac:dyDescent="0.25">
      <c r="A950" s="193"/>
      <c r="B950" s="39"/>
      <c r="C950" s="39"/>
      <c r="D950" s="39"/>
      <c r="E950" s="39"/>
      <c r="F950" s="194"/>
      <c r="G950" s="195"/>
      <c r="H950" s="38"/>
      <c r="I950" s="38"/>
      <c r="J950" s="38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 x14ac:dyDescent="0.25">
      <c r="A951" s="193"/>
      <c r="B951" s="39"/>
      <c r="C951" s="39"/>
      <c r="D951" s="39"/>
      <c r="E951" s="39"/>
      <c r="F951" s="194"/>
      <c r="G951" s="195"/>
      <c r="H951" s="38"/>
      <c r="I951" s="38"/>
      <c r="J951" s="38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 x14ac:dyDescent="0.25">
      <c r="A952" s="193"/>
      <c r="B952" s="39"/>
      <c r="C952" s="39"/>
      <c r="D952" s="39"/>
      <c r="E952" s="39"/>
      <c r="F952" s="194"/>
      <c r="G952" s="195"/>
      <c r="H952" s="38"/>
      <c r="I952" s="38"/>
      <c r="J952" s="38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 x14ac:dyDescent="0.25">
      <c r="A953" s="193"/>
      <c r="B953" s="39"/>
      <c r="C953" s="39"/>
      <c r="D953" s="39"/>
      <c r="E953" s="39"/>
      <c r="F953" s="194"/>
      <c r="G953" s="195"/>
      <c r="H953" s="38"/>
      <c r="I953" s="38"/>
      <c r="J953" s="38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 x14ac:dyDescent="0.25">
      <c r="A954" s="193"/>
      <c r="B954" s="39"/>
      <c r="C954" s="39"/>
      <c r="D954" s="39"/>
      <c r="E954" s="39"/>
      <c r="F954" s="194"/>
      <c r="G954" s="195"/>
      <c r="H954" s="38"/>
      <c r="I954" s="38"/>
      <c r="J954" s="38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 x14ac:dyDescent="0.25">
      <c r="A955" s="193"/>
      <c r="B955" s="39"/>
      <c r="C955" s="39"/>
      <c r="D955" s="39"/>
      <c r="E955" s="39"/>
      <c r="F955" s="194"/>
      <c r="G955" s="195"/>
      <c r="H955" s="38"/>
      <c r="I955" s="38"/>
      <c r="J955" s="38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 x14ac:dyDescent="0.25">
      <c r="A956" s="193"/>
      <c r="B956" s="39"/>
      <c r="C956" s="39"/>
      <c r="D956" s="39"/>
      <c r="E956" s="39"/>
      <c r="F956" s="194"/>
      <c r="G956" s="195"/>
      <c r="H956" s="38"/>
      <c r="I956" s="38"/>
      <c r="J956" s="38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 x14ac:dyDescent="0.25">
      <c r="A957" s="193"/>
      <c r="B957" s="39"/>
      <c r="C957" s="39"/>
      <c r="D957" s="39"/>
      <c r="E957" s="39"/>
      <c r="F957" s="194"/>
      <c r="G957" s="195"/>
      <c r="H957" s="38"/>
      <c r="I957" s="38"/>
      <c r="J957" s="38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 x14ac:dyDescent="0.25">
      <c r="A958" s="193"/>
      <c r="B958" s="39"/>
      <c r="C958" s="39"/>
      <c r="D958" s="39"/>
      <c r="E958" s="39"/>
      <c r="F958" s="194"/>
      <c r="G958" s="195"/>
      <c r="H958" s="38"/>
      <c r="I958" s="38"/>
      <c r="J958" s="38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 x14ac:dyDescent="0.25">
      <c r="A959" s="193"/>
      <c r="B959" s="39"/>
      <c r="C959" s="39"/>
      <c r="D959" s="39"/>
      <c r="E959" s="39"/>
      <c r="F959" s="194"/>
      <c r="G959" s="195"/>
      <c r="H959" s="38"/>
      <c r="I959" s="38"/>
      <c r="J959" s="38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 x14ac:dyDescent="0.25">
      <c r="A960" s="193"/>
      <c r="B960" s="39"/>
      <c r="C960" s="39"/>
      <c r="D960" s="39"/>
      <c r="E960" s="39"/>
      <c r="F960" s="194"/>
      <c r="G960" s="195"/>
      <c r="H960" s="38"/>
      <c r="I960" s="38"/>
      <c r="J960" s="38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 x14ac:dyDescent="0.25">
      <c r="A961" s="193"/>
      <c r="B961" s="39"/>
      <c r="C961" s="39"/>
      <c r="D961" s="39"/>
      <c r="E961" s="39"/>
      <c r="F961" s="194"/>
      <c r="G961" s="195"/>
      <c r="H961" s="38"/>
      <c r="I961" s="38"/>
      <c r="J961" s="38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 x14ac:dyDescent="0.25">
      <c r="A962" s="193"/>
      <c r="B962" s="39"/>
      <c r="C962" s="39"/>
      <c r="D962" s="39"/>
      <c r="E962" s="39"/>
      <c r="F962" s="194"/>
      <c r="G962" s="195"/>
      <c r="H962" s="38"/>
      <c r="I962" s="38"/>
      <c r="J962" s="38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 x14ac:dyDescent="0.25">
      <c r="A963" s="193"/>
      <c r="B963" s="39"/>
      <c r="C963" s="39"/>
      <c r="D963" s="39"/>
      <c r="E963" s="39"/>
      <c r="F963" s="194"/>
      <c r="G963" s="195"/>
      <c r="H963" s="38"/>
      <c r="I963" s="38"/>
      <c r="J963" s="38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 x14ac:dyDescent="0.25">
      <c r="A964" s="193"/>
      <c r="B964" s="39"/>
      <c r="C964" s="39"/>
      <c r="D964" s="39"/>
      <c r="E964" s="39"/>
      <c r="F964" s="194"/>
      <c r="G964" s="195"/>
      <c r="H964" s="38"/>
      <c r="I964" s="38"/>
      <c r="J964" s="38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 x14ac:dyDescent="0.25">
      <c r="A965" s="193"/>
      <c r="B965" s="39"/>
      <c r="C965" s="39"/>
      <c r="D965" s="39"/>
      <c r="E965" s="39"/>
      <c r="F965" s="194"/>
      <c r="G965" s="195"/>
      <c r="H965" s="38"/>
      <c r="I965" s="38"/>
      <c r="J965" s="38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 x14ac:dyDescent="0.25">
      <c r="A966" s="193"/>
      <c r="B966" s="39"/>
      <c r="C966" s="39"/>
      <c r="D966" s="39"/>
      <c r="E966" s="39"/>
      <c r="F966" s="194"/>
      <c r="G966" s="195"/>
      <c r="H966" s="38"/>
      <c r="I966" s="38"/>
      <c r="J966" s="38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 x14ac:dyDescent="0.25">
      <c r="A967" s="193"/>
      <c r="B967" s="39"/>
      <c r="C967" s="39"/>
      <c r="D967" s="39"/>
      <c r="E967" s="39"/>
      <c r="F967" s="194"/>
      <c r="G967" s="195"/>
      <c r="H967" s="38"/>
      <c r="I967" s="38"/>
      <c r="J967" s="38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 x14ac:dyDescent="0.25">
      <c r="A968" s="193"/>
      <c r="B968" s="39"/>
      <c r="C968" s="39"/>
      <c r="D968" s="39"/>
      <c r="E968" s="39"/>
      <c r="F968" s="194"/>
      <c r="G968" s="195"/>
      <c r="H968" s="38"/>
      <c r="I968" s="38"/>
      <c r="J968" s="38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 x14ac:dyDescent="0.25">
      <c r="A969" s="193"/>
      <c r="B969" s="39"/>
      <c r="C969" s="39"/>
      <c r="D969" s="39"/>
      <c r="E969" s="39"/>
      <c r="F969" s="194"/>
      <c r="G969" s="195"/>
      <c r="H969" s="38"/>
      <c r="I969" s="38"/>
      <c r="J969" s="38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 x14ac:dyDescent="0.25">
      <c r="A970" s="193"/>
      <c r="B970" s="39"/>
      <c r="C970" s="39"/>
      <c r="D970" s="39"/>
      <c r="E970" s="39"/>
      <c r="F970" s="194"/>
      <c r="G970" s="195"/>
      <c r="H970" s="38"/>
      <c r="I970" s="38"/>
      <c r="J970" s="38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 x14ac:dyDescent="0.25">
      <c r="A971" s="193"/>
      <c r="B971" s="39"/>
      <c r="C971" s="39"/>
      <c r="D971" s="39"/>
      <c r="E971" s="39"/>
      <c r="F971" s="194"/>
      <c r="G971" s="195"/>
      <c r="H971" s="38"/>
      <c r="I971" s="38"/>
      <c r="J971" s="38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 x14ac:dyDescent="0.25">
      <c r="A972" s="193"/>
      <c r="B972" s="39"/>
      <c r="C972" s="39"/>
      <c r="D972" s="39"/>
      <c r="E972" s="39"/>
      <c r="F972" s="194"/>
      <c r="G972" s="195"/>
      <c r="H972" s="38"/>
      <c r="I972" s="38"/>
      <c r="J972" s="38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 x14ac:dyDescent="0.25">
      <c r="A973" s="193"/>
      <c r="B973" s="39"/>
      <c r="C973" s="39"/>
      <c r="D973" s="39"/>
      <c r="E973" s="39"/>
      <c r="F973" s="194"/>
      <c r="G973" s="195"/>
      <c r="H973" s="38"/>
      <c r="I973" s="38"/>
      <c r="J973" s="38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 x14ac:dyDescent="0.25">
      <c r="A974" s="193"/>
      <c r="B974" s="39"/>
      <c r="C974" s="39"/>
      <c r="D974" s="39"/>
      <c r="E974" s="39"/>
      <c r="F974" s="194"/>
      <c r="G974" s="195"/>
      <c r="H974" s="38"/>
      <c r="I974" s="38"/>
      <c r="J974" s="38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 x14ac:dyDescent="0.25">
      <c r="A975" s="193"/>
      <c r="B975" s="39"/>
      <c r="C975" s="39"/>
      <c r="D975" s="39"/>
      <c r="E975" s="39"/>
      <c r="F975" s="194"/>
      <c r="G975" s="195"/>
      <c r="H975" s="38"/>
      <c r="I975" s="38"/>
      <c r="J975" s="38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 x14ac:dyDescent="0.25">
      <c r="A976" s="193"/>
      <c r="B976" s="39"/>
      <c r="C976" s="39"/>
      <c r="D976" s="39"/>
      <c r="E976" s="39"/>
      <c r="F976" s="194"/>
      <c r="G976" s="195"/>
      <c r="H976" s="38"/>
      <c r="I976" s="38"/>
      <c r="J976" s="38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 x14ac:dyDescent="0.25">
      <c r="A977" s="193"/>
      <c r="B977" s="39"/>
      <c r="C977" s="39"/>
      <c r="D977" s="39"/>
      <c r="E977" s="39"/>
      <c r="F977" s="194"/>
      <c r="G977" s="195"/>
      <c r="H977" s="38"/>
      <c r="I977" s="38"/>
      <c r="J977" s="38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 x14ac:dyDescent="0.25">
      <c r="A978" s="193"/>
      <c r="B978" s="39"/>
      <c r="C978" s="39"/>
      <c r="D978" s="39"/>
      <c r="E978" s="39"/>
      <c r="F978" s="194"/>
      <c r="G978" s="195"/>
      <c r="H978" s="38"/>
      <c r="I978" s="38"/>
      <c r="J978" s="38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 x14ac:dyDescent="0.25">
      <c r="A979" s="193"/>
      <c r="B979" s="39"/>
      <c r="C979" s="39"/>
      <c r="D979" s="39"/>
      <c r="E979" s="39"/>
      <c r="F979" s="194"/>
      <c r="G979" s="195"/>
      <c r="H979" s="38"/>
      <c r="I979" s="38"/>
      <c r="J979" s="38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 x14ac:dyDescent="0.25">
      <c r="A980" s="193"/>
      <c r="B980" s="39"/>
      <c r="C980" s="39"/>
      <c r="D980" s="39"/>
      <c r="E980" s="39"/>
      <c r="F980" s="194"/>
      <c r="G980" s="195"/>
      <c r="H980" s="38"/>
      <c r="I980" s="38"/>
      <c r="J980" s="38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 x14ac:dyDescent="0.25">
      <c r="A981" s="193"/>
      <c r="B981" s="39"/>
      <c r="C981" s="39"/>
      <c r="D981" s="39"/>
      <c r="E981" s="39"/>
      <c r="F981" s="194"/>
      <c r="G981" s="195"/>
      <c r="H981" s="38"/>
      <c r="I981" s="38"/>
      <c r="J981" s="38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 x14ac:dyDescent="0.25">
      <c r="A982" s="193"/>
      <c r="B982" s="39"/>
      <c r="C982" s="39"/>
      <c r="D982" s="39"/>
      <c r="E982" s="39"/>
      <c r="F982" s="194"/>
      <c r="G982" s="195"/>
      <c r="H982" s="38"/>
      <c r="I982" s="38"/>
      <c r="J982" s="38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 x14ac:dyDescent="0.25">
      <c r="A983" s="193"/>
      <c r="B983" s="39"/>
      <c r="C983" s="39"/>
      <c r="D983" s="39"/>
      <c r="E983" s="39"/>
      <c r="F983" s="194"/>
      <c r="G983" s="195"/>
      <c r="H983" s="38"/>
      <c r="I983" s="38"/>
      <c r="J983" s="38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 x14ac:dyDescent="0.25">
      <c r="A984" s="193"/>
      <c r="B984" s="39"/>
      <c r="C984" s="39"/>
      <c r="D984" s="39"/>
      <c r="E984" s="39"/>
      <c r="F984" s="194"/>
      <c r="G984" s="195"/>
      <c r="H984" s="38"/>
      <c r="I984" s="38"/>
      <c r="J984" s="38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 x14ac:dyDescent="0.25">
      <c r="A985" s="193"/>
      <c r="B985" s="39"/>
      <c r="C985" s="39"/>
      <c r="D985" s="39"/>
      <c r="E985" s="39"/>
      <c r="F985" s="194"/>
      <c r="G985" s="195"/>
      <c r="H985" s="38"/>
      <c r="I985" s="38"/>
      <c r="J985" s="38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 x14ac:dyDescent="0.25">
      <c r="A986" s="193"/>
      <c r="B986" s="39"/>
      <c r="C986" s="39"/>
      <c r="D986" s="39"/>
      <c r="E986" s="39"/>
      <c r="F986" s="194"/>
      <c r="G986" s="195"/>
      <c r="H986" s="38"/>
      <c r="I986" s="38"/>
      <c r="J986" s="38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 x14ac:dyDescent="0.25">
      <c r="A987" s="193"/>
      <c r="B987" s="39"/>
      <c r="C987" s="39"/>
      <c r="D987" s="39"/>
      <c r="E987" s="39"/>
      <c r="F987" s="194"/>
      <c r="G987" s="195"/>
      <c r="H987" s="38"/>
      <c r="I987" s="38"/>
      <c r="J987" s="38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 x14ac:dyDescent="0.25">
      <c r="A988" s="193"/>
      <c r="B988" s="39"/>
      <c r="C988" s="39"/>
      <c r="D988" s="39"/>
      <c r="E988" s="39"/>
      <c r="F988" s="194"/>
      <c r="G988" s="195"/>
      <c r="H988" s="38"/>
      <c r="I988" s="38"/>
      <c r="J988" s="38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 x14ac:dyDescent="0.25">
      <c r="A989" s="193"/>
      <c r="B989" s="39"/>
      <c r="C989" s="39"/>
      <c r="D989" s="39"/>
      <c r="E989" s="39"/>
      <c r="F989" s="194"/>
      <c r="G989" s="195"/>
      <c r="H989" s="38"/>
      <c r="I989" s="38"/>
      <c r="J989" s="38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 x14ac:dyDescent="0.25">
      <c r="A990" s="193"/>
      <c r="B990" s="39"/>
      <c r="C990" s="39"/>
      <c r="D990" s="39"/>
      <c r="E990" s="39"/>
      <c r="F990" s="194"/>
      <c r="G990" s="195"/>
      <c r="H990" s="38"/>
      <c r="I990" s="38"/>
      <c r="J990" s="38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 x14ac:dyDescent="0.25">
      <c r="A991" s="193"/>
      <c r="B991" s="39"/>
      <c r="C991" s="39"/>
      <c r="D991" s="39"/>
      <c r="E991" s="39"/>
      <c r="F991" s="194"/>
      <c r="G991" s="195"/>
      <c r="H991" s="38"/>
      <c r="I991" s="38"/>
      <c r="J991" s="38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 x14ac:dyDescent="0.25">
      <c r="A992" s="193"/>
      <c r="B992" s="39"/>
      <c r="C992" s="39"/>
      <c r="D992" s="39"/>
      <c r="E992" s="39"/>
      <c r="F992" s="194"/>
      <c r="G992" s="195"/>
      <c r="H992" s="38"/>
      <c r="I992" s="38"/>
      <c r="J992" s="38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 x14ac:dyDescent="0.25">
      <c r="A993" s="193"/>
      <c r="B993" s="39"/>
      <c r="C993" s="39"/>
      <c r="D993" s="39"/>
      <c r="E993" s="39"/>
      <c r="F993" s="194"/>
      <c r="G993" s="195"/>
      <c r="H993" s="38"/>
      <c r="I993" s="38"/>
      <c r="J993" s="38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 x14ac:dyDescent="0.25">
      <c r="A994" s="193"/>
      <c r="B994" s="39"/>
      <c r="C994" s="39"/>
      <c r="D994" s="39"/>
      <c r="E994" s="39"/>
      <c r="F994" s="194"/>
      <c r="G994" s="195"/>
      <c r="H994" s="38"/>
      <c r="I994" s="38"/>
      <c r="J994" s="38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 customHeight="1" x14ac:dyDescent="0.25">
      <c r="A995" s="193"/>
      <c r="B995" s="39"/>
      <c r="C995" s="39"/>
      <c r="D995" s="39"/>
      <c r="E995" s="39"/>
      <c r="F995" s="194"/>
      <c r="G995" s="195"/>
      <c r="H995" s="38"/>
      <c r="I995" s="38"/>
      <c r="J995" s="38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 customHeight="1" x14ac:dyDescent="0.25">
      <c r="A996" s="193"/>
      <c r="B996" s="39"/>
      <c r="C996" s="39"/>
      <c r="D996" s="39"/>
      <c r="E996" s="39"/>
      <c r="F996" s="194"/>
      <c r="G996" s="195"/>
      <c r="H996" s="38"/>
      <c r="I996" s="38"/>
      <c r="J996" s="38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 customHeight="1" x14ac:dyDescent="0.25">
      <c r="A997" s="193"/>
      <c r="B997" s="39"/>
      <c r="C997" s="39"/>
      <c r="D997" s="39"/>
      <c r="E997" s="39"/>
      <c r="F997" s="194"/>
      <c r="G997" s="195"/>
      <c r="H997" s="38"/>
      <c r="I997" s="38"/>
      <c r="J997" s="38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 customHeight="1" x14ac:dyDescent="0.25">
      <c r="A998" s="193"/>
      <c r="B998" s="39"/>
      <c r="C998" s="39"/>
      <c r="D998" s="39"/>
      <c r="E998" s="39"/>
      <c r="F998" s="194"/>
      <c r="G998" s="195"/>
      <c r="H998" s="38"/>
      <c r="I998" s="38"/>
      <c r="J998" s="38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 customHeight="1" x14ac:dyDescent="0.25">
      <c r="A999" s="193"/>
      <c r="B999" s="39"/>
      <c r="C999" s="39"/>
      <c r="D999" s="39"/>
      <c r="E999" s="39"/>
      <c r="F999" s="194"/>
      <c r="G999" s="195"/>
      <c r="H999" s="38"/>
      <c r="I999" s="38"/>
      <c r="J999" s="38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 customHeight="1" x14ac:dyDescent="0.25">
      <c r="A1000" s="193"/>
      <c r="B1000" s="39"/>
      <c r="C1000" s="39"/>
      <c r="D1000" s="39"/>
      <c r="E1000" s="39"/>
      <c r="F1000" s="194"/>
      <c r="G1000" s="195"/>
      <c r="H1000" s="38"/>
      <c r="I1000" s="38"/>
      <c r="J1000" s="38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 customHeight="1" x14ac:dyDescent="0.25">
      <c r="A1001" s="193"/>
      <c r="B1001" s="39"/>
      <c r="C1001" s="39"/>
      <c r="D1001" s="39"/>
      <c r="E1001" s="39"/>
      <c r="F1001" s="194"/>
      <c r="G1001" s="195"/>
      <c r="H1001" s="38"/>
      <c r="I1001" s="38"/>
      <c r="J1001" s="38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 customHeight="1" x14ac:dyDescent="0.25">
      <c r="A1002" s="193"/>
      <c r="B1002" s="39"/>
      <c r="C1002" s="39"/>
      <c r="D1002" s="39"/>
      <c r="E1002" s="39"/>
      <c r="F1002" s="194"/>
      <c r="G1002" s="195"/>
      <c r="H1002" s="38"/>
      <c r="I1002" s="38"/>
      <c r="J1002" s="38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 customHeight="1" x14ac:dyDescent="0.25">
      <c r="A1003" s="193"/>
      <c r="B1003" s="39"/>
      <c r="C1003" s="39"/>
      <c r="D1003" s="39"/>
      <c r="E1003" s="39"/>
      <c r="F1003" s="194"/>
      <c r="G1003" s="195"/>
      <c r="H1003" s="38"/>
      <c r="I1003" s="38"/>
      <c r="J1003" s="38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 customHeight="1" x14ac:dyDescent="0.25">
      <c r="A1004" s="193"/>
      <c r="B1004" s="39"/>
      <c r="C1004" s="39"/>
      <c r="D1004" s="39"/>
      <c r="E1004" s="39"/>
      <c r="F1004" s="194"/>
      <c r="G1004" s="195"/>
      <c r="H1004" s="38"/>
      <c r="I1004" s="38"/>
      <c r="J1004" s="38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 customHeight="1" x14ac:dyDescent="0.25">
      <c r="A1005" s="193"/>
      <c r="B1005" s="39"/>
      <c r="C1005" s="39"/>
      <c r="D1005" s="39"/>
      <c r="E1005" s="39"/>
      <c r="F1005" s="194"/>
      <c r="G1005" s="195"/>
      <c r="H1005" s="38"/>
      <c r="I1005" s="38"/>
      <c r="J1005" s="38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 customHeight="1" x14ac:dyDescent="0.25">
      <c r="A1006" s="193"/>
      <c r="B1006" s="39"/>
      <c r="C1006" s="39"/>
      <c r="D1006" s="39"/>
      <c r="E1006" s="39"/>
      <c r="F1006" s="194"/>
      <c r="G1006" s="195"/>
      <c r="H1006" s="38"/>
      <c r="I1006" s="38"/>
      <c r="J1006" s="38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 customHeight="1" x14ac:dyDescent="0.25">
      <c r="A1007" s="193"/>
      <c r="B1007" s="39"/>
      <c r="C1007" s="39"/>
      <c r="D1007" s="39"/>
      <c r="E1007" s="39"/>
      <c r="F1007" s="194"/>
      <c r="G1007" s="195"/>
      <c r="H1007" s="38"/>
      <c r="I1007" s="38"/>
      <c r="J1007" s="38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 customHeight="1" x14ac:dyDescent="0.25">
      <c r="A1008" s="193"/>
      <c r="B1008" s="39"/>
      <c r="C1008" s="39"/>
      <c r="D1008" s="39"/>
      <c r="E1008" s="39"/>
      <c r="F1008" s="194"/>
      <c r="G1008" s="195"/>
      <c r="H1008" s="38"/>
      <c r="I1008" s="38"/>
      <c r="J1008" s="38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 customHeight="1" x14ac:dyDescent="0.25">
      <c r="A1009" s="193"/>
      <c r="B1009" s="39"/>
      <c r="C1009" s="39"/>
      <c r="D1009" s="39"/>
      <c r="E1009" s="39"/>
      <c r="F1009" s="194"/>
      <c r="G1009" s="195"/>
      <c r="H1009" s="38"/>
      <c r="I1009" s="38"/>
      <c r="J1009" s="38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 customHeight="1" x14ac:dyDescent="0.25">
      <c r="A1010" s="193"/>
      <c r="B1010" s="39"/>
      <c r="C1010" s="39"/>
      <c r="D1010" s="39"/>
      <c r="E1010" s="39"/>
      <c r="F1010" s="194"/>
      <c r="G1010" s="195"/>
      <c r="H1010" s="38"/>
      <c r="I1010" s="38"/>
      <c r="J1010" s="38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 customHeight="1" x14ac:dyDescent="0.25">
      <c r="A1011" s="193"/>
      <c r="B1011" s="39"/>
      <c r="C1011" s="39"/>
      <c r="D1011" s="39"/>
      <c r="E1011" s="39"/>
      <c r="F1011" s="194"/>
      <c r="G1011" s="195"/>
      <c r="H1011" s="38"/>
      <c r="I1011" s="38"/>
      <c r="J1011" s="38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 customHeight="1" x14ac:dyDescent="0.25">
      <c r="A1012" s="193"/>
      <c r="B1012" s="39"/>
      <c r="C1012" s="39"/>
      <c r="D1012" s="39"/>
      <c r="E1012" s="39"/>
      <c r="F1012" s="194"/>
      <c r="G1012" s="195"/>
      <c r="H1012" s="38"/>
      <c r="I1012" s="38"/>
      <c r="J1012" s="38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 customHeight="1" x14ac:dyDescent="0.25">
      <c r="A1013" s="193"/>
      <c r="B1013" s="39"/>
      <c r="C1013" s="39"/>
      <c r="D1013" s="39"/>
      <c r="E1013" s="39"/>
      <c r="F1013" s="194"/>
      <c r="G1013" s="195"/>
      <c r="H1013" s="38"/>
      <c r="I1013" s="38"/>
      <c r="J1013" s="38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 customHeight="1" x14ac:dyDescent="0.25">
      <c r="A1014" s="193"/>
      <c r="B1014" s="39"/>
      <c r="C1014" s="39"/>
      <c r="D1014" s="39"/>
      <c r="E1014" s="39"/>
      <c r="F1014" s="194"/>
      <c r="G1014" s="195"/>
      <c r="H1014" s="38"/>
      <c r="I1014" s="38"/>
      <c r="J1014" s="38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 customHeight="1" x14ac:dyDescent="0.25">
      <c r="A1015" s="193"/>
      <c r="B1015" s="39"/>
      <c r="C1015" s="39"/>
      <c r="D1015" s="39"/>
      <c r="E1015" s="39"/>
      <c r="F1015" s="194"/>
      <c r="G1015" s="195"/>
      <c r="H1015" s="38"/>
      <c r="I1015" s="38"/>
      <c r="J1015" s="38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 customHeight="1" x14ac:dyDescent="0.25">
      <c r="A1016" s="193"/>
      <c r="B1016" s="39"/>
      <c r="C1016" s="39"/>
      <c r="D1016" s="39"/>
      <c r="E1016" s="39"/>
      <c r="F1016" s="194"/>
      <c r="G1016" s="195"/>
      <c r="H1016" s="38"/>
      <c r="I1016" s="38"/>
      <c r="J1016" s="38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 customHeight="1" x14ac:dyDescent="0.25">
      <c r="A1017" s="193"/>
      <c r="B1017" s="39"/>
      <c r="C1017" s="39"/>
      <c r="D1017" s="39"/>
      <c r="E1017" s="39"/>
      <c r="F1017" s="194"/>
      <c r="G1017" s="195"/>
      <c r="H1017" s="38"/>
      <c r="I1017" s="38"/>
      <c r="J1017" s="38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 customHeight="1" x14ac:dyDescent="0.25">
      <c r="A1018" s="193"/>
      <c r="B1018" s="39"/>
      <c r="C1018" s="39"/>
      <c r="D1018" s="39"/>
      <c r="E1018" s="39"/>
      <c r="F1018" s="194"/>
      <c r="G1018" s="195"/>
      <c r="H1018" s="38"/>
      <c r="I1018" s="38"/>
      <c r="J1018" s="38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 customHeight="1" x14ac:dyDescent="0.25">
      <c r="A1019" s="193"/>
      <c r="B1019" s="39"/>
      <c r="C1019" s="39"/>
      <c r="D1019" s="39"/>
      <c r="E1019" s="39"/>
      <c r="F1019" s="194"/>
      <c r="G1019" s="195"/>
      <c r="H1019" s="38"/>
      <c r="I1019" s="38"/>
      <c r="J1019" s="38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 customHeight="1" x14ac:dyDescent="0.25">
      <c r="A1020" s="193"/>
      <c r="B1020" s="39"/>
      <c r="C1020" s="39"/>
      <c r="D1020" s="39"/>
      <c r="E1020" s="39"/>
      <c r="F1020" s="194"/>
      <c r="G1020" s="195"/>
      <c r="H1020" s="38"/>
      <c r="I1020" s="38"/>
      <c r="J1020" s="38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 customHeight="1" x14ac:dyDescent="0.25">
      <c r="A1021" s="193"/>
      <c r="B1021" s="39"/>
      <c r="C1021" s="39"/>
      <c r="D1021" s="39"/>
      <c r="E1021" s="39"/>
      <c r="F1021" s="194"/>
      <c r="G1021" s="195"/>
      <c r="H1021" s="38"/>
      <c r="I1021" s="38"/>
      <c r="J1021" s="38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 customHeight="1" x14ac:dyDescent="0.25">
      <c r="A1022" s="193"/>
      <c r="B1022" s="39"/>
      <c r="C1022" s="39"/>
      <c r="D1022" s="39"/>
      <c r="E1022" s="39"/>
      <c r="F1022" s="194"/>
      <c r="G1022" s="195"/>
      <c r="H1022" s="38"/>
      <c r="I1022" s="38"/>
      <c r="J1022" s="38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 customHeight="1" x14ac:dyDescent="0.25">
      <c r="A1023" s="193"/>
      <c r="B1023" s="39"/>
      <c r="C1023" s="39"/>
      <c r="D1023" s="39"/>
      <c r="E1023" s="39"/>
      <c r="F1023" s="194"/>
      <c r="G1023" s="195"/>
      <c r="H1023" s="38"/>
      <c r="I1023" s="38"/>
      <c r="J1023" s="38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 customHeight="1" x14ac:dyDescent="0.25">
      <c r="A1024" s="193"/>
      <c r="B1024" s="39"/>
      <c r="C1024" s="39"/>
      <c r="D1024" s="39"/>
      <c r="E1024" s="39"/>
      <c r="F1024" s="194"/>
      <c r="G1024" s="195"/>
      <c r="H1024" s="38"/>
      <c r="I1024" s="38"/>
      <c r="J1024" s="38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 customHeight="1" x14ac:dyDescent="0.25">
      <c r="A1025" s="193"/>
      <c r="B1025" s="39"/>
      <c r="C1025" s="39"/>
      <c r="D1025" s="39"/>
      <c r="E1025" s="39"/>
      <c r="F1025" s="194"/>
      <c r="G1025" s="195"/>
      <c r="H1025" s="38"/>
      <c r="I1025" s="38"/>
      <c r="J1025" s="38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 customHeight="1" x14ac:dyDescent="0.25">
      <c r="A1026" s="193"/>
      <c r="B1026" s="39"/>
      <c r="C1026" s="39"/>
      <c r="D1026" s="39"/>
      <c r="E1026" s="39"/>
      <c r="F1026" s="194"/>
      <c r="G1026" s="195"/>
      <c r="H1026" s="38"/>
      <c r="I1026" s="38"/>
      <c r="J1026" s="38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 customHeight="1" x14ac:dyDescent="0.25">
      <c r="A1027" s="193"/>
      <c r="B1027" s="39"/>
      <c r="C1027" s="39"/>
      <c r="D1027" s="39"/>
      <c r="E1027" s="39"/>
      <c r="F1027" s="194"/>
      <c r="G1027" s="195"/>
      <c r="H1027" s="38"/>
      <c r="I1027" s="38"/>
      <c r="J1027" s="38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 customHeight="1" x14ac:dyDescent="0.25">
      <c r="A1028" s="193"/>
      <c r="B1028" s="39"/>
      <c r="C1028" s="39"/>
      <c r="D1028" s="39"/>
      <c r="E1028" s="39"/>
      <c r="F1028" s="194"/>
      <c r="G1028" s="195"/>
      <c r="H1028" s="38"/>
      <c r="I1028" s="38"/>
      <c r="J1028" s="38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 customHeight="1" x14ac:dyDescent="0.25">
      <c r="A1029" s="193"/>
      <c r="B1029" s="39"/>
      <c r="C1029" s="39"/>
      <c r="D1029" s="39"/>
      <c r="E1029" s="39"/>
      <c r="F1029" s="194"/>
      <c r="G1029" s="195"/>
      <c r="H1029" s="38"/>
      <c r="I1029" s="38"/>
      <c r="J1029" s="38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 customHeight="1" x14ac:dyDescent="0.25">
      <c r="A1030" s="193"/>
      <c r="B1030" s="39"/>
      <c r="C1030" s="39"/>
      <c r="D1030" s="39"/>
      <c r="E1030" s="39"/>
      <c r="F1030" s="194"/>
      <c r="G1030" s="195"/>
      <c r="H1030" s="38"/>
      <c r="I1030" s="38"/>
      <c r="J1030" s="38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 customHeight="1" x14ac:dyDescent="0.25">
      <c r="A1031" s="193"/>
      <c r="B1031" s="39"/>
      <c r="C1031" s="39"/>
      <c r="D1031" s="39"/>
      <c r="E1031" s="39"/>
      <c r="F1031" s="194"/>
      <c r="G1031" s="195"/>
      <c r="H1031" s="38"/>
      <c r="I1031" s="38"/>
      <c r="J1031" s="38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 customHeight="1" x14ac:dyDescent="0.25">
      <c r="A1032" s="193"/>
      <c r="B1032" s="39"/>
      <c r="C1032" s="39"/>
      <c r="D1032" s="39"/>
      <c r="E1032" s="39"/>
      <c r="F1032" s="194"/>
      <c r="G1032" s="195"/>
      <c r="H1032" s="38"/>
      <c r="I1032" s="38"/>
      <c r="J1032" s="38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 customHeight="1" x14ac:dyDescent="0.25">
      <c r="A1033" s="193"/>
      <c r="B1033" s="39"/>
      <c r="C1033" s="39"/>
      <c r="D1033" s="39"/>
      <c r="E1033" s="39"/>
      <c r="F1033" s="194"/>
      <c r="G1033" s="195"/>
      <c r="H1033" s="38"/>
      <c r="I1033" s="38"/>
      <c r="J1033" s="38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 customHeight="1" x14ac:dyDescent="0.25">
      <c r="A1034" s="193"/>
      <c r="B1034" s="39"/>
      <c r="C1034" s="39"/>
      <c r="D1034" s="39"/>
      <c r="E1034" s="39"/>
      <c r="F1034" s="194"/>
      <c r="G1034" s="195"/>
      <c r="H1034" s="38"/>
      <c r="I1034" s="38"/>
      <c r="J1034" s="38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 customHeight="1" x14ac:dyDescent="0.25">
      <c r="A1035" s="193"/>
      <c r="B1035" s="39"/>
      <c r="C1035" s="39"/>
      <c r="D1035" s="39"/>
      <c r="E1035" s="39"/>
      <c r="F1035" s="194"/>
      <c r="G1035" s="195"/>
      <c r="H1035" s="38"/>
      <c r="I1035" s="38"/>
      <c r="J1035" s="38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 customHeight="1" x14ac:dyDescent="0.25">
      <c r="A1036" s="193"/>
      <c r="B1036" s="39"/>
      <c r="C1036" s="39"/>
      <c r="D1036" s="39"/>
      <c r="E1036" s="39"/>
      <c r="F1036" s="194"/>
      <c r="G1036" s="195"/>
      <c r="H1036" s="38"/>
      <c r="I1036" s="38"/>
      <c r="J1036" s="38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 customHeight="1" x14ac:dyDescent="0.25">
      <c r="A1037" s="193"/>
      <c r="B1037" s="39"/>
      <c r="C1037" s="39"/>
      <c r="D1037" s="39"/>
      <c r="E1037" s="39"/>
      <c r="F1037" s="194"/>
      <c r="G1037" s="195"/>
      <c r="H1037" s="38"/>
      <c r="I1037" s="38"/>
      <c r="J1037" s="38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 customHeight="1" x14ac:dyDescent="0.25">
      <c r="A1038" s="193"/>
      <c r="B1038" s="39"/>
      <c r="C1038" s="39"/>
      <c r="D1038" s="39"/>
      <c r="E1038" s="39"/>
      <c r="F1038" s="194"/>
      <c r="G1038" s="195"/>
      <c r="H1038" s="38"/>
      <c r="I1038" s="38"/>
      <c r="J1038" s="38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 customHeight="1" x14ac:dyDescent="0.25">
      <c r="A1039" s="193"/>
      <c r="B1039" s="39"/>
      <c r="C1039" s="39"/>
      <c r="D1039" s="39"/>
      <c r="E1039" s="39"/>
      <c r="F1039" s="194"/>
      <c r="G1039" s="195"/>
      <c r="H1039" s="38"/>
      <c r="I1039" s="38"/>
      <c r="J1039" s="38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 customHeight="1" x14ac:dyDescent="0.25">
      <c r="A1040" s="193"/>
      <c r="B1040" s="39"/>
      <c r="C1040" s="39"/>
      <c r="D1040" s="39"/>
      <c r="E1040" s="39"/>
      <c r="F1040" s="194"/>
      <c r="G1040" s="195"/>
      <c r="H1040" s="38"/>
      <c r="I1040" s="38"/>
      <c r="J1040" s="38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 customHeight="1" x14ac:dyDescent="0.25">
      <c r="A1041" s="193"/>
      <c r="B1041" s="39"/>
      <c r="C1041" s="39"/>
      <c r="D1041" s="39"/>
      <c r="E1041" s="39"/>
      <c r="F1041" s="194"/>
      <c r="G1041" s="195"/>
      <c r="H1041" s="38"/>
      <c r="I1041" s="38"/>
      <c r="J1041" s="38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 customHeight="1" x14ac:dyDescent="0.25">
      <c r="A1042" s="193"/>
      <c r="B1042" s="39"/>
      <c r="C1042" s="39"/>
      <c r="D1042" s="39"/>
      <c r="E1042" s="39"/>
      <c r="F1042" s="194"/>
      <c r="G1042" s="195"/>
      <c r="H1042" s="38"/>
      <c r="I1042" s="38"/>
      <c r="J1042" s="38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 customHeight="1" x14ac:dyDescent="0.25">
      <c r="A1043" s="193"/>
      <c r="B1043" s="39"/>
      <c r="C1043" s="39"/>
      <c r="D1043" s="39"/>
      <c r="E1043" s="39"/>
      <c r="F1043" s="194"/>
      <c r="G1043" s="195"/>
      <c r="H1043" s="38"/>
      <c r="I1043" s="38"/>
      <c r="J1043" s="38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 customHeight="1" x14ac:dyDescent="0.25">
      <c r="A1044" s="193"/>
      <c r="B1044" s="39"/>
      <c r="C1044" s="39"/>
      <c r="D1044" s="39"/>
      <c r="E1044" s="39"/>
      <c r="F1044" s="194"/>
      <c r="G1044" s="195"/>
      <c r="H1044" s="38"/>
      <c r="I1044" s="38"/>
      <c r="J1044" s="38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 customHeight="1" x14ac:dyDescent="0.25">
      <c r="A1045" s="193"/>
      <c r="B1045" s="39"/>
      <c r="C1045" s="39"/>
      <c r="D1045" s="39"/>
      <c r="E1045" s="39"/>
      <c r="F1045" s="194"/>
      <c r="G1045" s="195"/>
      <c r="H1045" s="38"/>
      <c r="I1045" s="38"/>
      <c r="J1045" s="38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 customHeight="1" x14ac:dyDescent="0.25">
      <c r="A1046" s="193"/>
      <c r="B1046" s="39"/>
      <c r="C1046" s="39"/>
      <c r="D1046" s="39"/>
      <c r="E1046" s="39"/>
      <c r="F1046" s="194"/>
      <c r="G1046" s="195"/>
      <c r="H1046" s="38"/>
      <c r="I1046" s="38"/>
      <c r="J1046" s="38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 customHeight="1" x14ac:dyDescent="0.25">
      <c r="A1047" s="193"/>
      <c r="B1047" s="39"/>
      <c r="C1047" s="39"/>
      <c r="D1047" s="39"/>
      <c r="E1047" s="39"/>
      <c r="F1047" s="194"/>
      <c r="G1047" s="195"/>
      <c r="H1047" s="38"/>
      <c r="I1047" s="38"/>
      <c r="J1047" s="38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 customHeight="1" x14ac:dyDescent="0.25">
      <c r="A1048" s="193"/>
      <c r="B1048" s="39"/>
      <c r="C1048" s="39"/>
      <c r="D1048" s="39"/>
      <c r="E1048" s="39"/>
      <c r="F1048" s="194"/>
      <c r="G1048" s="195"/>
      <c r="H1048" s="38"/>
      <c r="I1048" s="38"/>
      <c r="J1048" s="38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 customHeight="1" x14ac:dyDescent="0.25">
      <c r="A1049" s="193"/>
      <c r="B1049" s="39"/>
      <c r="C1049" s="39"/>
      <c r="D1049" s="39"/>
      <c r="E1049" s="39"/>
      <c r="F1049" s="194"/>
      <c r="G1049" s="195"/>
      <c r="H1049" s="38"/>
      <c r="I1049" s="38"/>
      <c r="J1049" s="38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 customHeight="1" x14ac:dyDescent="0.25">
      <c r="A1050" s="193"/>
      <c r="B1050" s="39"/>
      <c r="C1050" s="39"/>
      <c r="D1050" s="39"/>
      <c r="E1050" s="39"/>
      <c r="F1050" s="194"/>
      <c r="G1050" s="195"/>
      <c r="H1050" s="38"/>
      <c r="I1050" s="38"/>
      <c r="J1050" s="38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 customHeight="1" x14ac:dyDescent="0.25">
      <c r="A1051" s="193"/>
      <c r="B1051" s="39"/>
      <c r="C1051" s="39"/>
      <c r="D1051" s="39"/>
      <c r="E1051" s="39"/>
      <c r="F1051" s="194"/>
      <c r="G1051" s="195"/>
      <c r="H1051" s="38"/>
      <c r="I1051" s="38"/>
      <c r="J1051" s="38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 customHeight="1" x14ac:dyDescent="0.25">
      <c r="A1052" s="193"/>
      <c r="B1052" s="39"/>
      <c r="C1052" s="39"/>
      <c r="D1052" s="39"/>
      <c r="E1052" s="39"/>
      <c r="F1052" s="194"/>
      <c r="G1052" s="195"/>
      <c r="H1052" s="38"/>
      <c r="I1052" s="38"/>
      <c r="J1052" s="38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 customHeight="1" x14ac:dyDescent="0.25">
      <c r="A1053" s="193"/>
      <c r="B1053" s="39"/>
      <c r="C1053" s="39"/>
      <c r="D1053" s="39"/>
      <c r="E1053" s="39"/>
      <c r="F1053" s="194"/>
      <c r="G1053" s="195"/>
      <c r="H1053" s="38"/>
      <c r="I1053" s="38"/>
      <c r="J1053" s="38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 customHeight="1" x14ac:dyDescent="0.25">
      <c r="A1054" s="193"/>
      <c r="B1054" s="39"/>
      <c r="C1054" s="39"/>
      <c r="D1054" s="39"/>
      <c r="E1054" s="39"/>
      <c r="F1054" s="194"/>
      <c r="G1054" s="195"/>
      <c r="H1054" s="38"/>
      <c r="I1054" s="38"/>
      <c r="J1054" s="38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 customHeight="1" x14ac:dyDescent="0.25">
      <c r="A1055" s="193"/>
      <c r="B1055" s="39"/>
      <c r="C1055" s="39"/>
      <c r="D1055" s="39"/>
      <c r="E1055" s="39"/>
      <c r="F1055" s="194"/>
      <c r="G1055" s="195"/>
      <c r="H1055" s="38"/>
      <c r="I1055" s="38"/>
      <c r="J1055" s="38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 customHeight="1" x14ac:dyDescent="0.25">
      <c r="A1056" s="193"/>
      <c r="B1056" s="39"/>
      <c r="C1056" s="39"/>
      <c r="D1056" s="39"/>
      <c r="E1056" s="39"/>
      <c r="F1056" s="194"/>
      <c r="G1056" s="195"/>
      <c r="H1056" s="38"/>
      <c r="I1056" s="38"/>
      <c r="J1056" s="38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 customHeight="1" x14ac:dyDescent="0.25">
      <c r="A1057" s="193"/>
      <c r="B1057" s="39"/>
      <c r="C1057" s="39"/>
      <c r="D1057" s="39"/>
      <c r="E1057" s="39"/>
      <c r="F1057" s="194"/>
      <c r="G1057" s="195"/>
      <c r="H1057" s="38"/>
      <c r="I1057" s="38"/>
      <c r="J1057" s="38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 customHeight="1" x14ac:dyDescent="0.25">
      <c r="A1058" s="193"/>
      <c r="B1058" s="39"/>
      <c r="C1058" s="39"/>
      <c r="D1058" s="39"/>
      <c r="E1058" s="39"/>
      <c r="F1058" s="194"/>
      <c r="G1058" s="195"/>
      <c r="H1058" s="38"/>
      <c r="I1058" s="38"/>
      <c r="J1058" s="38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 customHeight="1" x14ac:dyDescent="0.25">
      <c r="A1059" s="193"/>
      <c r="B1059" s="39"/>
      <c r="C1059" s="39"/>
      <c r="D1059" s="39"/>
      <c r="E1059" s="39"/>
      <c r="F1059" s="194"/>
      <c r="G1059" s="195"/>
      <c r="H1059" s="38"/>
      <c r="I1059" s="38"/>
      <c r="J1059" s="38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 customHeight="1" x14ac:dyDescent="0.25">
      <c r="A1060" s="193"/>
      <c r="B1060" s="39"/>
      <c r="C1060" s="39"/>
      <c r="D1060" s="39"/>
      <c r="E1060" s="39"/>
      <c r="F1060" s="194"/>
      <c r="G1060" s="195"/>
      <c r="H1060" s="38"/>
      <c r="I1060" s="38"/>
      <c r="J1060" s="38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 customHeight="1" x14ac:dyDescent="0.25">
      <c r="A1061" s="193"/>
      <c r="B1061" s="39"/>
      <c r="C1061" s="39"/>
      <c r="D1061" s="39"/>
      <c r="E1061" s="39"/>
      <c r="F1061" s="194"/>
      <c r="G1061" s="195"/>
      <c r="H1061" s="38"/>
      <c r="I1061" s="38"/>
      <c r="J1061" s="38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 customHeight="1" x14ac:dyDescent="0.25">
      <c r="A1062" s="193"/>
      <c r="B1062" s="39"/>
      <c r="C1062" s="39"/>
      <c r="D1062" s="39"/>
      <c r="E1062" s="39"/>
      <c r="F1062" s="194"/>
      <c r="G1062" s="195"/>
      <c r="H1062" s="38"/>
      <c r="I1062" s="38"/>
      <c r="J1062" s="38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 customHeight="1" x14ac:dyDescent="0.25">
      <c r="A1063" s="193"/>
      <c r="B1063" s="39"/>
      <c r="C1063" s="39"/>
      <c r="D1063" s="39"/>
      <c r="E1063" s="39"/>
      <c r="F1063" s="194"/>
      <c r="G1063" s="195"/>
      <c r="H1063" s="38"/>
      <c r="I1063" s="38"/>
      <c r="J1063" s="38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 customHeight="1" x14ac:dyDescent="0.25">
      <c r="A1064" s="193"/>
      <c r="B1064" s="39"/>
      <c r="C1064" s="39"/>
      <c r="D1064" s="39"/>
      <c r="E1064" s="39"/>
      <c r="F1064" s="194"/>
      <c r="G1064" s="195"/>
      <c r="H1064" s="38"/>
      <c r="I1064" s="38"/>
      <c r="J1064" s="38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 customHeight="1" x14ac:dyDescent="0.25">
      <c r="A1065" s="193"/>
      <c r="B1065" s="39"/>
      <c r="C1065" s="39"/>
      <c r="D1065" s="39"/>
      <c r="E1065" s="39"/>
      <c r="F1065" s="194"/>
      <c r="G1065" s="195"/>
      <c r="H1065" s="38"/>
      <c r="I1065" s="38"/>
      <c r="J1065" s="38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 customHeight="1" x14ac:dyDescent="0.25">
      <c r="A1066" s="193"/>
      <c r="B1066" s="39"/>
      <c r="C1066" s="39"/>
      <c r="D1066" s="39"/>
      <c r="E1066" s="39"/>
      <c r="F1066" s="194"/>
      <c r="G1066" s="195"/>
      <c r="H1066" s="38"/>
      <c r="I1066" s="38"/>
      <c r="J1066" s="38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 customHeight="1" x14ac:dyDescent="0.25">
      <c r="A1067" s="193"/>
      <c r="B1067" s="39"/>
      <c r="C1067" s="39"/>
      <c r="D1067" s="39"/>
      <c r="E1067" s="39"/>
      <c r="F1067" s="194"/>
      <c r="G1067" s="195"/>
      <c r="H1067" s="38"/>
      <c r="I1067" s="38"/>
      <c r="J1067" s="38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 customHeight="1" x14ac:dyDescent="0.25">
      <c r="A1068" s="193"/>
      <c r="B1068" s="39"/>
      <c r="C1068" s="39"/>
      <c r="D1068" s="39"/>
      <c r="E1068" s="39"/>
      <c r="F1068" s="194"/>
      <c r="G1068" s="195"/>
      <c r="H1068" s="38"/>
      <c r="I1068" s="38"/>
      <c r="J1068" s="38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 customHeight="1" x14ac:dyDescent="0.25">
      <c r="A1069" s="193"/>
      <c r="B1069" s="39"/>
      <c r="C1069" s="39"/>
      <c r="D1069" s="39"/>
      <c r="E1069" s="39"/>
      <c r="F1069" s="194"/>
      <c r="G1069" s="195"/>
      <c r="H1069" s="38"/>
      <c r="I1069" s="38"/>
      <c r="J1069" s="38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 customHeight="1" x14ac:dyDescent="0.25">
      <c r="A1070" s="193"/>
      <c r="B1070" s="39"/>
      <c r="C1070" s="39"/>
      <c r="D1070" s="39"/>
      <c r="E1070" s="39"/>
      <c r="F1070" s="194"/>
      <c r="G1070" s="195"/>
      <c r="H1070" s="38"/>
      <c r="I1070" s="38"/>
      <c r="J1070" s="38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 customHeight="1" x14ac:dyDescent="0.25">
      <c r="A1071" s="193"/>
      <c r="B1071" s="39"/>
      <c r="C1071" s="39"/>
      <c r="D1071" s="39"/>
      <c r="E1071" s="39"/>
      <c r="F1071" s="194"/>
      <c r="G1071" s="195"/>
      <c r="H1071" s="38"/>
      <c r="I1071" s="38"/>
      <c r="J1071" s="38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 customHeight="1" x14ac:dyDescent="0.25">
      <c r="A1072" s="193"/>
      <c r="B1072" s="39"/>
      <c r="C1072" s="39"/>
      <c r="D1072" s="39"/>
      <c r="E1072" s="39"/>
      <c r="F1072" s="194"/>
      <c r="G1072" s="195"/>
      <c r="H1072" s="38"/>
      <c r="I1072" s="38"/>
      <c r="J1072" s="38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 customHeight="1" x14ac:dyDescent="0.25">
      <c r="A1073" s="193"/>
      <c r="B1073" s="39"/>
      <c r="C1073" s="39"/>
      <c r="D1073" s="39"/>
      <c r="E1073" s="39"/>
      <c r="F1073" s="194"/>
      <c r="G1073" s="195"/>
      <c r="H1073" s="38"/>
      <c r="I1073" s="38"/>
      <c r="J1073" s="38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 customHeight="1" x14ac:dyDescent="0.25">
      <c r="A1074" s="193"/>
      <c r="B1074" s="39"/>
      <c r="C1074" s="39"/>
      <c r="D1074" s="39"/>
      <c r="E1074" s="39"/>
      <c r="F1074" s="194"/>
      <c r="G1074" s="195"/>
      <c r="H1074" s="38"/>
      <c r="I1074" s="38"/>
      <c r="J1074" s="38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 customHeight="1" x14ac:dyDescent="0.25">
      <c r="A1075" s="193"/>
      <c r="B1075" s="39"/>
      <c r="C1075" s="39"/>
      <c r="D1075" s="39"/>
      <c r="E1075" s="39"/>
      <c r="F1075" s="194"/>
      <c r="G1075" s="195"/>
      <c r="H1075" s="38"/>
      <c r="I1075" s="38"/>
      <c r="J1075" s="38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 customHeight="1" x14ac:dyDescent="0.25">
      <c r="A1076" s="193"/>
      <c r="B1076" s="39"/>
      <c r="C1076" s="39"/>
      <c r="D1076" s="39"/>
      <c r="E1076" s="39"/>
      <c r="F1076" s="194"/>
      <c r="G1076" s="195"/>
      <c r="H1076" s="38"/>
      <c r="I1076" s="38"/>
      <c r="J1076" s="38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 customHeight="1" x14ac:dyDescent="0.25">
      <c r="A1077" s="193"/>
      <c r="B1077" s="39"/>
      <c r="C1077" s="39"/>
      <c r="D1077" s="39"/>
      <c r="E1077" s="39"/>
      <c r="F1077" s="194"/>
      <c r="G1077" s="195"/>
      <c r="H1077" s="38"/>
      <c r="I1077" s="38"/>
      <c r="J1077" s="38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 customHeight="1" x14ac:dyDescent="0.25">
      <c r="A1078" s="193"/>
      <c r="B1078" s="39"/>
      <c r="C1078" s="39"/>
      <c r="D1078" s="39"/>
      <c r="E1078" s="39"/>
      <c r="F1078" s="194"/>
      <c r="G1078" s="195"/>
      <c r="H1078" s="38"/>
      <c r="I1078" s="38"/>
      <c r="J1078" s="38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 customHeight="1" x14ac:dyDescent="0.25">
      <c r="A1079" s="193"/>
      <c r="B1079" s="39"/>
      <c r="C1079" s="39"/>
      <c r="D1079" s="39"/>
      <c r="E1079" s="39"/>
      <c r="F1079" s="194"/>
      <c r="G1079" s="195"/>
      <c r="H1079" s="38"/>
      <c r="I1079" s="38"/>
      <c r="J1079" s="38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 customHeight="1" x14ac:dyDescent="0.25">
      <c r="A1080" s="193"/>
      <c r="B1080" s="39"/>
      <c r="C1080" s="39"/>
      <c r="D1080" s="39"/>
      <c r="E1080" s="39"/>
      <c r="F1080" s="194"/>
      <c r="G1080" s="195"/>
      <c r="H1080" s="38"/>
      <c r="I1080" s="38"/>
      <c r="J1080" s="38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 customHeight="1" x14ac:dyDescent="0.25">
      <c r="A1081" s="193"/>
      <c r="B1081" s="39"/>
      <c r="C1081" s="39"/>
      <c r="D1081" s="39"/>
      <c r="E1081" s="39"/>
      <c r="F1081" s="194"/>
      <c r="G1081" s="195"/>
      <c r="H1081" s="38"/>
      <c r="I1081" s="38"/>
      <c r="J1081" s="38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 customHeight="1" x14ac:dyDescent="0.25">
      <c r="A1082" s="193"/>
      <c r="B1082" s="39"/>
      <c r="C1082" s="39"/>
      <c r="D1082" s="39"/>
      <c r="E1082" s="39"/>
      <c r="F1082" s="194"/>
      <c r="G1082" s="195"/>
      <c r="H1082" s="38"/>
      <c r="I1082" s="38"/>
      <c r="J1082" s="38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 customHeight="1" x14ac:dyDescent="0.25">
      <c r="A1083" s="193"/>
      <c r="B1083" s="39"/>
      <c r="C1083" s="39"/>
      <c r="D1083" s="39"/>
      <c r="E1083" s="39"/>
      <c r="F1083" s="194"/>
      <c r="G1083" s="195"/>
      <c r="H1083" s="38"/>
      <c r="I1083" s="38"/>
      <c r="J1083" s="38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 customHeight="1" x14ac:dyDescent="0.25">
      <c r="A1084" s="193"/>
      <c r="B1084" s="39"/>
      <c r="C1084" s="39"/>
      <c r="D1084" s="39"/>
      <c r="E1084" s="39"/>
      <c r="F1084" s="194"/>
      <c r="G1084" s="195"/>
      <c r="H1084" s="38"/>
      <c r="I1084" s="38"/>
      <c r="J1084" s="38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 customHeight="1" x14ac:dyDescent="0.25">
      <c r="A1085" s="193"/>
      <c r="B1085" s="39"/>
      <c r="C1085" s="39"/>
      <c r="D1085" s="39"/>
      <c r="E1085" s="39"/>
      <c r="F1085" s="194"/>
      <c r="G1085" s="195"/>
      <c r="H1085" s="38"/>
      <c r="I1085" s="38"/>
      <c r="J1085" s="38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 customHeight="1" x14ac:dyDescent="0.25">
      <c r="A1086" s="193"/>
      <c r="B1086" s="39"/>
      <c r="C1086" s="39"/>
      <c r="D1086" s="39"/>
      <c r="E1086" s="39"/>
      <c r="F1086" s="194"/>
      <c r="G1086" s="195"/>
      <c r="H1086" s="38"/>
      <c r="I1086" s="38"/>
      <c r="J1086" s="38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 customHeight="1" x14ac:dyDescent="0.25">
      <c r="A1087" s="193"/>
      <c r="B1087" s="39"/>
      <c r="C1087" s="39"/>
      <c r="D1087" s="39"/>
      <c r="E1087" s="39"/>
      <c r="F1087" s="194"/>
      <c r="G1087" s="195"/>
      <c r="H1087" s="38"/>
      <c r="I1087" s="38"/>
      <c r="J1087" s="38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 customHeight="1" x14ac:dyDescent="0.25">
      <c r="A1088" s="193"/>
      <c r="B1088" s="39"/>
      <c r="C1088" s="39"/>
      <c r="D1088" s="39"/>
      <c r="E1088" s="39"/>
      <c r="F1088" s="194"/>
      <c r="G1088" s="195"/>
      <c r="H1088" s="38"/>
      <c r="I1088" s="38"/>
      <c r="J1088" s="38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 customHeight="1" x14ac:dyDescent="0.25">
      <c r="A1089" s="193"/>
      <c r="B1089" s="39"/>
      <c r="C1089" s="39"/>
      <c r="D1089" s="39"/>
      <c r="E1089" s="39"/>
      <c r="F1089" s="194"/>
      <c r="G1089" s="195"/>
      <c r="H1089" s="38"/>
      <c r="I1089" s="38"/>
      <c r="J1089" s="38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 customHeight="1" x14ac:dyDescent="0.25">
      <c r="A1090" s="193"/>
      <c r="B1090" s="39"/>
      <c r="C1090" s="39"/>
      <c r="D1090" s="39"/>
      <c r="E1090" s="39"/>
      <c r="F1090" s="194"/>
      <c r="G1090" s="195"/>
      <c r="H1090" s="38"/>
      <c r="I1090" s="38"/>
      <c r="J1090" s="38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 customHeight="1" x14ac:dyDescent="0.25">
      <c r="A1091" s="193"/>
      <c r="B1091" s="39"/>
      <c r="C1091" s="39"/>
      <c r="D1091" s="39"/>
      <c r="E1091" s="39"/>
      <c r="F1091" s="194"/>
      <c r="G1091" s="195"/>
      <c r="H1091" s="38"/>
      <c r="I1091" s="38"/>
      <c r="J1091" s="38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 customHeight="1" x14ac:dyDescent="0.25">
      <c r="A1092" s="193"/>
      <c r="B1092" s="39"/>
      <c r="C1092" s="39"/>
      <c r="D1092" s="39"/>
      <c r="E1092" s="39"/>
      <c r="F1092" s="194"/>
      <c r="G1092" s="195"/>
      <c r="H1092" s="38"/>
      <c r="I1092" s="38"/>
      <c r="J1092" s="38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 customHeight="1" x14ac:dyDescent="0.25">
      <c r="A1093" s="193"/>
      <c r="B1093" s="39"/>
      <c r="C1093" s="39"/>
      <c r="D1093" s="39"/>
      <c r="E1093" s="39"/>
      <c r="F1093" s="194"/>
      <c r="G1093" s="195"/>
      <c r="H1093" s="38"/>
      <c r="I1093" s="38"/>
      <c r="J1093" s="38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 customHeight="1" x14ac:dyDescent="0.25">
      <c r="A1094" s="193"/>
      <c r="B1094" s="39"/>
      <c r="C1094" s="39"/>
      <c r="D1094" s="39"/>
      <c r="E1094" s="39"/>
      <c r="F1094" s="194"/>
      <c r="G1094" s="195"/>
      <c r="H1094" s="38"/>
      <c r="I1094" s="38"/>
      <c r="J1094" s="38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 customHeight="1" x14ac:dyDescent="0.25">
      <c r="A1095" s="193"/>
      <c r="B1095" s="39"/>
      <c r="C1095" s="39"/>
      <c r="D1095" s="39"/>
      <c r="E1095" s="39"/>
      <c r="F1095" s="194"/>
      <c r="G1095" s="195"/>
      <c r="H1095" s="38"/>
      <c r="I1095" s="38"/>
      <c r="J1095" s="38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 customHeight="1" x14ac:dyDescent="0.25">
      <c r="A1096" s="193"/>
      <c r="B1096" s="39"/>
      <c r="C1096" s="39"/>
      <c r="D1096" s="39"/>
      <c r="E1096" s="39"/>
      <c r="F1096" s="194"/>
      <c r="G1096" s="195"/>
      <c r="H1096" s="38"/>
      <c r="I1096" s="38"/>
      <c r="J1096" s="38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 customHeight="1" x14ac:dyDescent="0.25">
      <c r="A1097" s="193"/>
      <c r="B1097" s="39"/>
      <c r="C1097" s="39"/>
      <c r="D1097" s="39"/>
      <c r="E1097" s="39"/>
      <c r="F1097" s="194"/>
      <c r="G1097" s="195"/>
      <c r="H1097" s="38"/>
      <c r="I1097" s="38"/>
      <c r="J1097" s="38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 customHeight="1" x14ac:dyDescent="0.25">
      <c r="A1098" s="193"/>
      <c r="B1098" s="39"/>
      <c r="C1098" s="39"/>
      <c r="D1098" s="39"/>
      <c r="E1098" s="39"/>
      <c r="F1098" s="194"/>
      <c r="G1098" s="195"/>
      <c r="H1098" s="38"/>
      <c r="I1098" s="38"/>
      <c r="J1098" s="38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 customHeight="1" x14ac:dyDescent="0.25">
      <c r="A1099" s="193"/>
      <c r="B1099" s="39"/>
      <c r="C1099" s="39"/>
      <c r="D1099" s="39"/>
      <c r="E1099" s="39"/>
      <c r="F1099" s="194"/>
      <c r="G1099" s="195"/>
      <c r="H1099" s="38"/>
      <c r="I1099" s="38"/>
      <c r="J1099" s="38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 customHeight="1" x14ac:dyDescent="0.25">
      <c r="A1100" s="193"/>
      <c r="B1100" s="39"/>
      <c r="C1100" s="39"/>
      <c r="D1100" s="39"/>
      <c r="E1100" s="39"/>
      <c r="F1100" s="194"/>
      <c r="G1100" s="195"/>
      <c r="H1100" s="38"/>
      <c r="I1100" s="38"/>
      <c r="J1100" s="38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 customHeight="1" x14ac:dyDescent="0.25">
      <c r="A1101" s="193"/>
      <c r="B1101" s="39"/>
      <c r="C1101" s="39"/>
      <c r="D1101" s="39"/>
      <c r="E1101" s="39"/>
      <c r="F1101" s="194"/>
      <c r="G1101" s="195"/>
      <c r="H1101" s="38"/>
      <c r="I1101" s="38"/>
      <c r="J1101" s="38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 customHeight="1" x14ac:dyDescent="0.25">
      <c r="A1102" s="193"/>
      <c r="B1102" s="39"/>
      <c r="C1102" s="39"/>
      <c r="D1102" s="39"/>
      <c r="E1102" s="39"/>
      <c r="F1102" s="194"/>
      <c r="G1102" s="195"/>
      <c r="H1102" s="38"/>
      <c r="I1102" s="38"/>
      <c r="J1102" s="38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 customHeight="1" x14ac:dyDescent="0.25">
      <c r="A1103" s="193"/>
      <c r="B1103" s="39"/>
      <c r="C1103" s="39"/>
      <c r="D1103" s="39"/>
      <c r="E1103" s="39"/>
      <c r="F1103" s="194"/>
      <c r="G1103" s="195"/>
      <c r="H1103" s="38"/>
      <c r="I1103" s="38"/>
      <c r="J1103" s="38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 customHeight="1" x14ac:dyDescent="0.25">
      <c r="A1104" s="193"/>
      <c r="B1104" s="39"/>
      <c r="C1104" s="39"/>
      <c r="D1104" s="39"/>
      <c r="E1104" s="39"/>
      <c r="F1104" s="194"/>
      <c r="G1104" s="195"/>
      <c r="H1104" s="38"/>
      <c r="I1104" s="38"/>
      <c r="J1104" s="38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 customHeight="1" x14ac:dyDescent="0.25">
      <c r="A1105" s="193"/>
      <c r="B1105" s="39"/>
      <c r="C1105" s="39"/>
      <c r="D1105" s="39"/>
      <c r="E1105" s="39"/>
      <c r="F1105" s="194"/>
      <c r="G1105" s="195"/>
      <c r="H1105" s="38"/>
      <c r="I1105" s="38"/>
      <c r="J1105" s="38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 customHeight="1" x14ac:dyDescent="0.25">
      <c r="A1106" s="193"/>
      <c r="B1106" s="39"/>
      <c r="C1106" s="39"/>
      <c r="D1106" s="39"/>
      <c r="E1106" s="39"/>
      <c r="F1106" s="194"/>
      <c r="G1106" s="195"/>
      <c r="H1106" s="38"/>
      <c r="I1106" s="38"/>
      <c r="J1106" s="38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 customHeight="1" x14ac:dyDescent="0.25">
      <c r="A1107" s="193"/>
      <c r="B1107" s="39"/>
      <c r="C1107" s="39"/>
      <c r="D1107" s="39"/>
      <c r="E1107" s="39"/>
      <c r="F1107" s="194"/>
      <c r="G1107" s="195"/>
      <c r="H1107" s="38"/>
      <c r="I1107" s="38"/>
      <c r="J1107" s="38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 customHeight="1" x14ac:dyDescent="0.25">
      <c r="A1108" s="193"/>
      <c r="B1108" s="39"/>
      <c r="C1108" s="39"/>
      <c r="D1108" s="39"/>
      <c r="E1108" s="39"/>
      <c r="F1108" s="194"/>
      <c r="G1108" s="195"/>
      <c r="H1108" s="38"/>
      <c r="I1108" s="38"/>
      <c r="J1108" s="38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 customHeight="1" x14ac:dyDescent="0.25">
      <c r="A1109" s="193"/>
      <c r="B1109" s="39"/>
      <c r="C1109" s="39"/>
      <c r="D1109" s="39"/>
      <c r="E1109" s="39"/>
      <c r="F1109" s="194"/>
      <c r="G1109" s="195"/>
      <c r="H1109" s="38"/>
      <c r="I1109" s="38"/>
      <c r="J1109" s="38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 customHeight="1" x14ac:dyDescent="0.25">
      <c r="A1110" s="193"/>
      <c r="B1110" s="39"/>
      <c r="C1110" s="39"/>
      <c r="D1110" s="39"/>
      <c r="E1110" s="39"/>
      <c r="F1110" s="194"/>
      <c r="G1110" s="195"/>
      <c r="H1110" s="38"/>
      <c r="I1110" s="38"/>
      <c r="J1110" s="38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 customHeight="1" x14ac:dyDescent="0.25">
      <c r="A1111" s="193"/>
      <c r="B1111" s="39"/>
      <c r="C1111" s="39"/>
      <c r="D1111" s="39"/>
      <c r="E1111" s="39"/>
      <c r="F1111" s="194"/>
      <c r="G1111" s="195"/>
      <c r="H1111" s="38"/>
      <c r="I1111" s="38"/>
      <c r="J1111" s="38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 customHeight="1" x14ac:dyDescent="0.25">
      <c r="A1112" s="193"/>
      <c r="B1112" s="39"/>
      <c r="C1112" s="39"/>
      <c r="D1112" s="39"/>
      <c r="E1112" s="39"/>
      <c r="F1112" s="194"/>
      <c r="G1112" s="195"/>
      <c r="H1112" s="38"/>
      <c r="I1112" s="38"/>
      <c r="J1112" s="38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 customHeight="1" x14ac:dyDescent="0.25">
      <c r="A1113" s="193"/>
      <c r="B1113" s="39"/>
      <c r="C1113" s="39"/>
      <c r="D1113" s="39"/>
      <c r="E1113" s="39"/>
      <c r="F1113" s="194"/>
      <c r="G1113" s="195"/>
      <c r="H1113" s="38"/>
      <c r="I1113" s="38"/>
      <c r="J1113" s="38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 customHeight="1" x14ac:dyDescent="0.25">
      <c r="A1114" s="193"/>
      <c r="B1114" s="39"/>
      <c r="C1114" s="39"/>
      <c r="D1114" s="39"/>
      <c r="E1114" s="39"/>
      <c r="F1114" s="194"/>
      <c r="G1114" s="195"/>
      <c r="H1114" s="38"/>
      <c r="I1114" s="38"/>
      <c r="J1114" s="38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 customHeight="1" x14ac:dyDescent="0.25">
      <c r="A1115" s="193"/>
      <c r="B1115" s="39"/>
      <c r="C1115" s="39"/>
      <c r="D1115" s="39"/>
      <c r="E1115" s="39"/>
      <c r="F1115" s="194"/>
      <c r="G1115" s="195"/>
      <c r="H1115" s="38"/>
      <c r="I1115" s="38"/>
      <c r="J1115" s="38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 customHeight="1" x14ac:dyDescent="0.25">
      <c r="A1116" s="193"/>
      <c r="B1116" s="39"/>
      <c r="C1116" s="39"/>
      <c r="D1116" s="39"/>
      <c r="E1116" s="39"/>
      <c r="F1116" s="194"/>
      <c r="G1116" s="195"/>
      <c r="H1116" s="38"/>
      <c r="I1116" s="38"/>
      <c r="J1116" s="38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 customHeight="1" x14ac:dyDescent="0.25">
      <c r="A1117" s="193"/>
      <c r="B1117" s="39"/>
      <c r="C1117" s="39"/>
      <c r="D1117" s="39"/>
      <c r="E1117" s="39"/>
      <c r="F1117" s="194"/>
      <c r="G1117" s="195"/>
      <c r="H1117" s="38"/>
      <c r="I1117" s="38"/>
      <c r="J1117" s="38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 customHeight="1" x14ac:dyDescent="0.25">
      <c r="A1118" s="193"/>
      <c r="B1118" s="39"/>
      <c r="C1118" s="39"/>
      <c r="D1118" s="39"/>
      <c r="E1118" s="39"/>
      <c r="F1118" s="194"/>
      <c r="G1118" s="195"/>
      <c r="H1118" s="38"/>
      <c r="I1118" s="38"/>
      <c r="J1118" s="38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 customHeight="1" x14ac:dyDescent="0.25">
      <c r="A1119" s="193"/>
      <c r="B1119" s="39"/>
      <c r="C1119" s="39"/>
      <c r="D1119" s="39"/>
      <c r="E1119" s="39"/>
      <c r="F1119" s="194"/>
      <c r="G1119" s="195"/>
      <c r="H1119" s="38"/>
      <c r="I1119" s="38"/>
      <c r="J1119" s="38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 customHeight="1" x14ac:dyDescent="0.25">
      <c r="A1120" s="193"/>
      <c r="B1120" s="39"/>
      <c r="C1120" s="39"/>
      <c r="D1120" s="39"/>
      <c r="E1120" s="39"/>
      <c r="F1120" s="194"/>
      <c r="G1120" s="195"/>
      <c r="H1120" s="38"/>
      <c r="I1120" s="38"/>
      <c r="J1120" s="38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 customHeight="1" x14ac:dyDescent="0.25">
      <c r="A1121" s="193"/>
      <c r="B1121" s="39"/>
      <c r="C1121" s="39"/>
      <c r="D1121" s="39"/>
      <c r="E1121" s="39"/>
      <c r="F1121" s="194"/>
      <c r="G1121" s="195"/>
      <c r="H1121" s="38"/>
      <c r="I1121" s="38"/>
      <c r="J1121" s="38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 customHeight="1" x14ac:dyDescent="0.25">
      <c r="A1122" s="193"/>
      <c r="B1122" s="39"/>
      <c r="C1122" s="39"/>
      <c r="D1122" s="39"/>
      <c r="E1122" s="39"/>
      <c r="F1122" s="194"/>
      <c r="G1122" s="195"/>
      <c r="H1122" s="38"/>
      <c r="I1122" s="38"/>
      <c r="J1122" s="38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 customHeight="1" x14ac:dyDescent="0.25">
      <c r="A1123" s="193"/>
      <c r="B1123" s="39"/>
      <c r="C1123" s="39"/>
      <c r="D1123" s="39"/>
      <c r="E1123" s="39"/>
      <c r="F1123" s="194"/>
      <c r="G1123" s="195"/>
      <c r="H1123" s="38"/>
      <c r="I1123" s="38"/>
      <c r="J1123" s="38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 customHeight="1" x14ac:dyDescent="0.25">
      <c r="A1124" s="193"/>
      <c r="B1124" s="39"/>
      <c r="C1124" s="39"/>
      <c r="D1124" s="39"/>
      <c r="E1124" s="39"/>
      <c r="F1124" s="194"/>
      <c r="G1124" s="195"/>
      <c r="H1124" s="38"/>
      <c r="I1124" s="38"/>
      <c r="J1124" s="38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 customHeight="1" x14ac:dyDescent="0.25">
      <c r="A1125" s="193"/>
      <c r="B1125" s="39"/>
      <c r="C1125" s="39"/>
      <c r="D1125" s="39"/>
      <c r="E1125" s="39"/>
      <c r="F1125" s="194"/>
      <c r="G1125" s="195"/>
      <c r="H1125" s="38"/>
      <c r="I1125" s="38"/>
      <c r="J1125" s="38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 customHeight="1" x14ac:dyDescent="0.25">
      <c r="A1126" s="193"/>
      <c r="B1126" s="39"/>
      <c r="C1126" s="39"/>
      <c r="D1126" s="39"/>
      <c r="E1126" s="39"/>
      <c r="F1126" s="194"/>
      <c r="G1126" s="195"/>
      <c r="H1126" s="38"/>
      <c r="I1126" s="38"/>
      <c r="J1126" s="38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 customHeight="1" x14ac:dyDescent="0.25">
      <c r="A1127" s="193"/>
      <c r="B1127" s="39"/>
      <c r="C1127" s="39"/>
      <c r="D1127" s="39"/>
      <c r="E1127" s="39"/>
      <c r="F1127" s="194"/>
      <c r="G1127" s="195"/>
      <c r="H1127" s="38"/>
      <c r="I1127" s="38"/>
      <c r="J1127" s="38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 customHeight="1" x14ac:dyDescent="0.25">
      <c r="A1128" s="193"/>
      <c r="B1128" s="39"/>
      <c r="C1128" s="39"/>
      <c r="D1128" s="39"/>
      <c r="E1128" s="39"/>
      <c r="F1128" s="194"/>
      <c r="G1128" s="195"/>
      <c r="H1128" s="38"/>
      <c r="I1128" s="38"/>
      <c r="J1128" s="38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 customHeight="1" x14ac:dyDescent="0.25">
      <c r="A1129" s="193"/>
      <c r="B1129" s="39"/>
      <c r="C1129" s="39"/>
      <c r="D1129" s="39"/>
      <c r="E1129" s="39"/>
      <c r="F1129" s="194"/>
      <c r="G1129" s="195"/>
      <c r="H1129" s="38"/>
      <c r="I1129" s="38"/>
      <c r="J1129" s="38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 customHeight="1" x14ac:dyDescent="0.25">
      <c r="A1130" s="193"/>
      <c r="B1130" s="39"/>
      <c r="C1130" s="39"/>
      <c r="D1130" s="39"/>
      <c r="E1130" s="39"/>
      <c r="F1130" s="194"/>
      <c r="G1130" s="195"/>
      <c r="H1130" s="38"/>
      <c r="I1130" s="38"/>
      <c r="J1130" s="38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 customHeight="1" x14ac:dyDescent="0.25">
      <c r="A1131" s="193"/>
      <c r="B1131" s="39"/>
      <c r="C1131" s="39"/>
      <c r="D1131" s="39"/>
      <c r="E1131" s="39"/>
      <c r="F1131" s="194"/>
      <c r="G1131" s="195"/>
      <c r="H1131" s="38"/>
      <c r="I1131" s="38"/>
      <c r="J1131" s="38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 customHeight="1" x14ac:dyDescent="0.25">
      <c r="A1132" s="193"/>
      <c r="B1132" s="39"/>
      <c r="C1132" s="39"/>
      <c r="D1132" s="39"/>
      <c r="E1132" s="39"/>
      <c r="F1132" s="194"/>
      <c r="G1132" s="195"/>
      <c r="H1132" s="38"/>
      <c r="I1132" s="38"/>
      <c r="J1132" s="38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 customHeight="1" x14ac:dyDescent="0.25">
      <c r="A1133" s="193"/>
      <c r="B1133" s="39"/>
      <c r="C1133" s="39"/>
      <c r="D1133" s="39"/>
      <c r="E1133" s="39"/>
      <c r="F1133" s="194"/>
      <c r="G1133" s="195"/>
      <c r="H1133" s="38"/>
      <c r="I1133" s="38"/>
      <c r="J1133" s="38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 customHeight="1" x14ac:dyDescent="0.25">
      <c r="A1134" s="193"/>
      <c r="B1134" s="39"/>
      <c r="C1134" s="39"/>
      <c r="D1134" s="39"/>
      <c r="E1134" s="39"/>
      <c r="F1134" s="194"/>
      <c r="G1134" s="195"/>
      <c r="H1134" s="38"/>
      <c r="I1134" s="38"/>
      <c r="J1134" s="38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 customHeight="1" x14ac:dyDescent="0.25">
      <c r="A1135" s="193"/>
      <c r="B1135" s="39"/>
      <c r="C1135" s="39"/>
      <c r="D1135" s="39"/>
      <c r="E1135" s="39"/>
      <c r="F1135" s="194"/>
      <c r="G1135" s="195"/>
      <c r="H1135" s="38"/>
      <c r="I1135" s="38"/>
      <c r="J1135" s="38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 customHeight="1" x14ac:dyDescent="0.25">
      <c r="A1136" s="193"/>
      <c r="B1136" s="39"/>
      <c r="C1136" s="39"/>
      <c r="D1136" s="39"/>
      <c r="E1136" s="39"/>
      <c r="F1136" s="194"/>
      <c r="G1136" s="195"/>
      <c r="H1136" s="38"/>
      <c r="I1136" s="38"/>
      <c r="J1136" s="38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 customHeight="1" x14ac:dyDescent="0.25">
      <c r="A1137" s="193"/>
      <c r="B1137" s="39"/>
      <c r="C1137" s="39"/>
      <c r="D1137" s="39"/>
      <c r="E1137" s="39"/>
      <c r="F1137" s="194"/>
      <c r="G1137" s="195"/>
      <c r="H1137" s="38"/>
      <c r="I1137" s="38"/>
      <c r="J1137" s="38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 customHeight="1" x14ac:dyDescent="0.25">
      <c r="A1138" s="193"/>
      <c r="B1138" s="39"/>
      <c r="C1138" s="39"/>
      <c r="D1138" s="39"/>
      <c r="E1138" s="39"/>
      <c r="F1138" s="194"/>
      <c r="G1138" s="195"/>
      <c r="H1138" s="38"/>
      <c r="I1138" s="38"/>
      <c r="J1138" s="38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 customHeight="1" x14ac:dyDescent="0.25">
      <c r="A1139" s="193"/>
      <c r="B1139" s="39"/>
      <c r="C1139" s="39"/>
      <c r="D1139" s="39"/>
      <c r="E1139" s="39"/>
      <c r="F1139" s="194"/>
      <c r="G1139" s="195"/>
      <c r="H1139" s="38"/>
      <c r="I1139" s="38"/>
      <c r="J1139" s="38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 customHeight="1" x14ac:dyDescent="0.25">
      <c r="A1140" s="193"/>
      <c r="B1140" s="39"/>
      <c r="C1140" s="39"/>
      <c r="D1140" s="39"/>
      <c r="E1140" s="39"/>
      <c r="F1140" s="194"/>
      <c r="G1140" s="195"/>
      <c r="H1140" s="38"/>
      <c r="I1140" s="38"/>
      <c r="J1140" s="38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 customHeight="1" x14ac:dyDescent="0.25">
      <c r="A1141" s="193"/>
      <c r="B1141" s="39"/>
      <c r="C1141" s="39"/>
      <c r="D1141" s="39"/>
      <c r="E1141" s="39"/>
      <c r="F1141" s="194"/>
      <c r="G1141" s="195"/>
      <c r="H1141" s="38"/>
      <c r="I1141" s="38"/>
      <c r="J1141" s="38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 customHeight="1" x14ac:dyDescent="0.25">
      <c r="A1142" s="193"/>
      <c r="B1142" s="39"/>
      <c r="C1142" s="39"/>
      <c r="D1142" s="39"/>
      <c r="E1142" s="39"/>
      <c r="F1142" s="194"/>
      <c r="G1142" s="195"/>
      <c r="H1142" s="38"/>
      <c r="I1142" s="38"/>
      <c r="J1142" s="38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 customHeight="1" x14ac:dyDescent="0.25">
      <c r="A1143" s="193"/>
      <c r="B1143" s="39"/>
      <c r="C1143" s="39"/>
      <c r="D1143" s="39"/>
      <c r="E1143" s="39"/>
      <c r="F1143" s="194"/>
      <c r="G1143" s="195"/>
      <c r="H1143" s="38"/>
      <c r="I1143" s="38"/>
      <c r="J1143" s="38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 customHeight="1" x14ac:dyDescent="0.25">
      <c r="A1144" s="193"/>
      <c r="B1144" s="39"/>
      <c r="C1144" s="39"/>
      <c r="D1144" s="39"/>
      <c r="E1144" s="39"/>
      <c r="F1144" s="194"/>
      <c r="G1144" s="195"/>
      <c r="H1144" s="38"/>
      <c r="I1144" s="38"/>
      <c r="J1144" s="38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 customHeight="1" x14ac:dyDescent="0.25">
      <c r="A1145" s="193"/>
      <c r="B1145" s="39"/>
      <c r="C1145" s="39"/>
      <c r="D1145" s="39"/>
      <c r="E1145" s="39"/>
      <c r="F1145" s="194"/>
      <c r="G1145" s="195"/>
      <c r="H1145" s="38"/>
      <c r="I1145" s="38"/>
      <c r="J1145" s="38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 customHeight="1" x14ac:dyDescent="0.25">
      <c r="A1146" s="193"/>
      <c r="B1146" s="39"/>
      <c r="C1146" s="39"/>
      <c r="D1146" s="39"/>
      <c r="E1146" s="39"/>
      <c r="F1146" s="194"/>
      <c r="G1146" s="195"/>
      <c r="H1146" s="38"/>
      <c r="I1146" s="38"/>
      <c r="J1146" s="38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 customHeight="1" x14ac:dyDescent="0.25">
      <c r="A1147" s="193"/>
      <c r="B1147" s="39"/>
      <c r="C1147" s="39"/>
      <c r="D1147" s="39"/>
      <c r="E1147" s="39"/>
      <c r="F1147" s="194"/>
      <c r="G1147" s="195"/>
      <c r="H1147" s="38"/>
      <c r="I1147" s="38"/>
      <c r="J1147" s="38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 customHeight="1" x14ac:dyDescent="0.25">
      <c r="A1148" s="193"/>
      <c r="B1148" s="39"/>
      <c r="C1148" s="39"/>
      <c r="D1148" s="39"/>
      <c r="E1148" s="39"/>
      <c r="F1148" s="194"/>
      <c r="G1148" s="195"/>
      <c r="H1148" s="38"/>
      <c r="I1148" s="38"/>
      <c r="J1148" s="38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 customHeight="1" x14ac:dyDescent="0.25">
      <c r="A1149" s="193"/>
      <c r="B1149" s="39"/>
      <c r="C1149" s="39"/>
      <c r="D1149" s="39"/>
      <c r="E1149" s="39"/>
      <c r="F1149" s="194"/>
      <c r="G1149" s="195"/>
      <c r="H1149" s="38"/>
      <c r="I1149" s="38"/>
      <c r="J1149" s="38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 customHeight="1" x14ac:dyDescent="0.25">
      <c r="A1150" s="193"/>
      <c r="B1150" s="39"/>
      <c r="C1150" s="39"/>
      <c r="D1150" s="39"/>
      <c r="E1150" s="39"/>
      <c r="F1150" s="194"/>
      <c r="G1150" s="195"/>
      <c r="H1150" s="38"/>
      <c r="I1150" s="38"/>
      <c r="J1150" s="38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 customHeight="1" x14ac:dyDescent="0.25">
      <c r="A1151" s="193"/>
      <c r="B1151" s="39"/>
      <c r="C1151" s="39"/>
      <c r="D1151" s="39"/>
      <c r="E1151" s="39"/>
      <c r="F1151" s="194"/>
      <c r="G1151" s="195"/>
      <c r="H1151" s="38"/>
      <c r="I1151" s="38"/>
      <c r="J1151" s="38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 customHeight="1" x14ac:dyDescent="0.25">
      <c r="A1152" s="193"/>
      <c r="B1152" s="39"/>
      <c r="C1152" s="39"/>
      <c r="D1152" s="39"/>
      <c r="E1152" s="39"/>
      <c r="F1152" s="194"/>
      <c r="G1152" s="195"/>
      <c r="H1152" s="38"/>
      <c r="I1152" s="38"/>
      <c r="J1152" s="38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 customHeight="1" x14ac:dyDescent="0.25">
      <c r="A1153" s="193"/>
      <c r="B1153" s="39"/>
      <c r="C1153" s="39"/>
      <c r="D1153" s="39"/>
      <c r="E1153" s="39"/>
      <c r="F1153" s="194"/>
      <c r="G1153" s="195"/>
      <c r="H1153" s="38"/>
      <c r="I1153" s="38"/>
      <c r="J1153" s="38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 customHeight="1" x14ac:dyDescent="0.25">
      <c r="A1154" s="193"/>
      <c r="B1154" s="39"/>
      <c r="C1154" s="39"/>
      <c r="D1154" s="39"/>
      <c r="E1154" s="39"/>
      <c r="F1154" s="194"/>
      <c r="G1154" s="195"/>
      <c r="H1154" s="38"/>
      <c r="I1154" s="38"/>
      <c r="J1154" s="38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 customHeight="1" x14ac:dyDescent="0.25">
      <c r="A1155" s="193"/>
      <c r="B1155" s="39"/>
      <c r="C1155" s="39"/>
      <c r="D1155" s="39"/>
      <c r="E1155" s="39"/>
      <c r="F1155" s="194"/>
      <c r="G1155" s="195"/>
      <c r="H1155" s="38"/>
      <c r="I1155" s="38"/>
      <c r="J1155" s="38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 customHeight="1" x14ac:dyDescent="0.25">
      <c r="A1156" s="193"/>
      <c r="B1156" s="39"/>
      <c r="C1156" s="39"/>
      <c r="D1156" s="39"/>
      <c r="E1156" s="39"/>
      <c r="F1156" s="194"/>
      <c r="G1156" s="195"/>
      <c r="H1156" s="38"/>
      <c r="I1156" s="38"/>
      <c r="J1156" s="38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 customHeight="1" x14ac:dyDescent="0.25">
      <c r="A1157" s="193"/>
      <c r="B1157" s="39"/>
      <c r="C1157" s="39"/>
      <c r="D1157" s="39"/>
      <c r="E1157" s="39"/>
      <c r="F1157" s="194"/>
      <c r="G1157" s="195"/>
      <c r="H1157" s="38"/>
      <c r="I1157" s="38"/>
      <c r="J1157" s="38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 customHeight="1" x14ac:dyDescent="0.25">
      <c r="A1158" s="193"/>
      <c r="B1158" s="39"/>
      <c r="C1158" s="39"/>
      <c r="D1158" s="39"/>
      <c r="E1158" s="39"/>
      <c r="F1158" s="194"/>
      <c r="G1158" s="195"/>
      <c r="H1158" s="38"/>
      <c r="I1158" s="38"/>
      <c r="J1158" s="38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 customHeight="1" x14ac:dyDescent="0.25">
      <c r="A1159" s="193"/>
      <c r="B1159" s="39"/>
      <c r="C1159" s="39"/>
      <c r="D1159" s="39"/>
      <c r="E1159" s="39"/>
      <c r="F1159" s="194"/>
      <c r="G1159" s="195"/>
      <c r="H1159" s="38"/>
      <c r="I1159" s="38"/>
      <c r="J1159" s="38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 customHeight="1" x14ac:dyDescent="0.25">
      <c r="A1160" s="193"/>
      <c r="B1160" s="39"/>
      <c r="C1160" s="39"/>
      <c r="D1160" s="39"/>
      <c r="E1160" s="39"/>
      <c r="F1160" s="194"/>
      <c r="G1160" s="195"/>
      <c r="H1160" s="38"/>
      <c r="I1160" s="38"/>
      <c r="J1160" s="38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 customHeight="1" x14ac:dyDescent="0.25">
      <c r="A1161" s="193"/>
      <c r="B1161" s="39"/>
      <c r="C1161" s="39"/>
      <c r="D1161" s="39"/>
      <c r="E1161" s="39"/>
      <c r="F1161" s="194"/>
      <c r="G1161" s="195"/>
      <c r="H1161" s="38"/>
      <c r="I1161" s="38"/>
      <c r="J1161" s="38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 customHeight="1" x14ac:dyDescent="0.25">
      <c r="A1162" s="193"/>
      <c r="B1162" s="39"/>
      <c r="C1162" s="39"/>
      <c r="D1162" s="39"/>
      <c r="E1162" s="39"/>
      <c r="F1162" s="194"/>
      <c r="G1162" s="195"/>
      <c r="H1162" s="38"/>
      <c r="I1162" s="38"/>
      <c r="J1162" s="38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 customHeight="1" x14ac:dyDescent="0.25">
      <c r="A1163" s="193"/>
      <c r="B1163" s="39"/>
      <c r="C1163" s="39"/>
      <c r="D1163" s="39"/>
      <c r="E1163" s="39"/>
      <c r="F1163" s="194"/>
      <c r="G1163" s="195"/>
      <c r="H1163" s="38"/>
      <c r="I1163" s="38"/>
      <c r="J1163" s="38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 customHeight="1" x14ac:dyDescent="0.25">
      <c r="A1164" s="193"/>
      <c r="B1164" s="39"/>
      <c r="C1164" s="39"/>
      <c r="D1164" s="39"/>
      <c r="E1164" s="39"/>
      <c r="F1164" s="194"/>
      <c r="G1164" s="195"/>
      <c r="H1164" s="38"/>
      <c r="I1164" s="38"/>
      <c r="J1164" s="38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 customHeight="1" x14ac:dyDescent="0.25">
      <c r="A1165" s="193"/>
      <c r="B1165" s="39"/>
      <c r="C1165" s="39"/>
      <c r="D1165" s="39"/>
      <c r="E1165" s="39"/>
      <c r="F1165" s="194"/>
      <c r="G1165" s="195"/>
      <c r="H1165" s="38"/>
      <c r="I1165" s="38"/>
      <c r="J1165" s="38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 customHeight="1" x14ac:dyDescent="0.25">
      <c r="A1166" s="193"/>
      <c r="B1166" s="39"/>
      <c r="C1166" s="39"/>
      <c r="D1166" s="39"/>
      <c r="E1166" s="39"/>
      <c r="F1166" s="194"/>
      <c r="G1166" s="195"/>
      <c r="H1166" s="38"/>
      <c r="I1166" s="38"/>
      <c r="J1166" s="38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 customHeight="1" x14ac:dyDescent="0.25">
      <c r="A1167" s="193"/>
      <c r="B1167" s="39"/>
      <c r="C1167" s="39"/>
      <c r="D1167" s="39"/>
      <c r="E1167" s="39"/>
      <c r="F1167" s="194"/>
      <c r="G1167" s="195"/>
      <c r="H1167" s="38"/>
      <c r="I1167" s="38"/>
      <c r="J1167" s="38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 customHeight="1" x14ac:dyDescent="0.25">
      <c r="A1168" s="193"/>
      <c r="B1168" s="39"/>
      <c r="C1168" s="39"/>
      <c r="D1168" s="39"/>
      <c r="E1168" s="39"/>
      <c r="F1168" s="194"/>
      <c r="G1168" s="195"/>
      <c r="H1168" s="38"/>
      <c r="I1168" s="38"/>
      <c r="J1168" s="38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 customHeight="1" x14ac:dyDescent="0.25">
      <c r="A1169" s="193"/>
      <c r="B1169" s="39"/>
      <c r="C1169" s="39"/>
      <c r="D1169" s="39"/>
      <c r="E1169" s="39"/>
      <c r="F1169" s="194"/>
      <c r="G1169" s="195"/>
      <c r="H1169" s="38"/>
      <c r="I1169" s="38"/>
      <c r="J1169" s="38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 customHeight="1" x14ac:dyDescent="0.25">
      <c r="A1170" s="193"/>
      <c r="B1170" s="39"/>
      <c r="C1170" s="39"/>
      <c r="D1170" s="39"/>
      <c r="E1170" s="39"/>
      <c r="F1170" s="194"/>
      <c r="G1170" s="195"/>
      <c r="H1170" s="38"/>
      <c r="I1170" s="38"/>
      <c r="J1170" s="38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 customHeight="1" x14ac:dyDescent="0.25">
      <c r="A1171" s="193"/>
      <c r="B1171" s="39"/>
      <c r="C1171" s="39"/>
      <c r="D1171" s="39"/>
      <c r="E1171" s="39"/>
      <c r="F1171" s="194"/>
      <c r="G1171" s="195"/>
      <c r="H1171" s="38"/>
      <c r="I1171" s="38"/>
      <c r="J1171" s="38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 customHeight="1" x14ac:dyDescent="0.25">
      <c r="A1172" s="193"/>
      <c r="B1172" s="39"/>
      <c r="C1172" s="39"/>
      <c r="D1172" s="39"/>
      <c r="E1172" s="39"/>
      <c r="F1172" s="194"/>
      <c r="G1172" s="195"/>
      <c r="H1172" s="38"/>
      <c r="I1172" s="38"/>
      <c r="J1172" s="38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 customHeight="1" x14ac:dyDescent="0.25">
      <c r="A1173" s="193"/>
      <c r="B1173" s="39"/>
      <c r="C1173" s="39"/>
      <c r="D1173" s="39"/>
      <c r="E1173" s="39"/>
      <c r="F1173" s="194"/>
      <c r="G1173" s="195"/>
      <c r="H1173" s="38"/>
      <c r="I1173" s="38"/>
      <c r="J1173" s="38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 customHeight="1" x14ac:dyDescent="0.25">
      <c r="A1174" s="193"/>
      <c r="B1174" s="39"/>
      <c r="C1174" s="39"/>
      <c r="D1174" s="39"/>
      <c r="E1174" s="39"/>
      <c r="F1174" s="194"/>
      <c r="G1174" s="195"/>
      <c r="H1174" s="38"/>
      <c r="I1174" s="38"/>
      <c r="J1174" s="38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 customHeight="1" x14ac:dyDescent="0.25">
      <c r="A1175" s="193"/>
      <c r="B1175" s="39"/>
      <c r="C1175" s="39"/>
      <c r="D1175" s="39"/>
      <c r="E1175" s="39"/>
      <c r="F1175" s="194"/>
      <c r="G1175" s="195"/>
      <c r="H1175" s="38"/>
      <c r="I1175" s="38"/>
      <c r="J1175" s="38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 customHeight="1" x14ac:dyDescent="0.25">
      <c r="A1176" s="193"/>
      <c r="B1176" s="39"/>
      <c r="C1176" s="39"/>
      <c r="D1176" s="39"/>
      <c r="E1176" s="39"/>
      <c r="F1176" s="194"/>
      <c r="G1176" s="195"/>
      <c r="H1176" s="38"/>
      <c r="I1176" s="38"/>
      <c r="J1176" s="38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 customHeight="1" x14ac:dyDescent="0.25">
      <c r="A1177" s="193"/>
      <c r="B1177" s="39"/>
      <c r="C1177" s="39"/>
      <c r="D1177" s="39"/>
      <c r="E1177" s="39"/>
      <c r="F1177" s="194"/>
      <c r="G1177" s="195"/>
      <c r="H1177" s="38"/>
      <c r="I1177" s="38"/>
      <c r="J1177" s="38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 customHeight="1" x14ac:dyDescent="0.25">
      <c r="A1178" s="193"/>
      <c r="B1178" s="39"/>
      <c r="C1178" s="39"/>
      <c r="D1178" s="39"/>
      <c r="E1178" s="39"/>
      <c r="F1178" s="194"/>
      <c r="G1178" s="195"/>
      <c r="H1178" s="38"/>
      <c r="I1178" s="38"/>
      <c r="J1178" s="38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 customHeight="1" x14ac:dyDescent="0.25">
      <c r="A1179" s="193"/>
      <c r="B1179" s="39"/>
      <c r="C1179" s="39"/>
      <c r="D1179" s="39"/>
      <c r="E1179" s="39"/>
      <c r="F1179" s="194"/>
      <c r="G1179" s="195"/>
      <c r="H1179" s="38"/>
      <c r="I1179" s="38"/>
      <c r="J1179" s="38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 customHeight="1" x14ac:dyDescent="0.25">
      <c r="A1180" s="193"/>
      <c r="B1180" s="39"/>
      <c r="C1180" s="39"/>
      <c r="D1180" s="39"/>
      <c r="E1180" s="39"/>
      <c r="F1180" s="194"/>
      <c r="G1180" s="195"/>
      <c r="H1180" s="38"/>
      <c r="I1180" s="38"/>
      <c r="J1180" s="38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 customHeight="1" x14ac:dyDescent="0.25">
      <c r="A1181" s="193"/>
      <c r="B1181" s="39"/>
      <c r="C1181" s="39"/>
      <c r="D1181" s="39"/>
      <c r="E1181" s="39"/>
      <c r="F1181" s="194"/>
      <c r="G1181" s="195"/>
      <c r="H1181" s="38"/>
      <c r="I1181" s="38"/>
      <c r="J1181" s="38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 customHeight="1" x14ac:dyDescent="0.25">
      <c r="A1182" s="193"/>
      <c r="B1182" s="39"/>
      <c r="C1182" s="39"/>
      <c r="D1182" s="39"/>
      <c r="E1182" s="39"/>
      <c r="F1182" s="194"/>
      <c r="G1182" s="195"/>
      <c r="H1182" s="38"/>
      <c r="I1182" s="38"/>
      <c r="J1182" s="38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 customHeight="1" x14ac:dyDescent="0.25">
      <c r="A1183" s="193"/>
      <c r="B1183" s="39"/>
      <c r="C1183" s="39"/>
      <c r="D1183" s="39"/>
      <c r="E1183" s="39"/>
      <c r="F1183" s="194"/>
      <c r="G1183" s="195"/>
      <c r="H1183" s="38"/>
      <c r="I1183" s="38"/>
      <c r="J1183" s="38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 customHeight="1" x14ac:dyDescent="0.25">
      <c r="A1184" s="193"/>
      <c r="B1184" s="39"/>
      <c r="C1184" s="39"/>
      <c r="D1184" s="39"/>
      <c r="E1184" s="39"/>
      <c r="F1184" s="194"/>
      <c r="G1184" s="195"/>
      <c r="H1184" s="38"/>
      <c r="I1184" s="38"/>
      <c r="J1184" s="38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 customHeight="1" x14ac:dyDescent="0.25">
      <c r="A1185" s="193"/>
      <c r="B1185" s="39"/>
      <c r="C1185" s="39"/>
      <c r="D1185" s="39"/>
      <c r="E1185" s="39"/>
      <c r="F1185" s="194"/>
      <c r="G1185" s="195"/>
      <c r="H1185" s="38"/>
      <c r="I1185" s="38"/>
      <c r="J1185" s="38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 customHeight="1" x14ac:dyDescent="0.25">
      <c r="A1186" s="193"/>
      <c r="B1186" s="39"/>
      <c r="C1186" s="39"/>
      <c r="D1186" s="39"/>
      <c r="E1186" s="39"/>
      <c r="F1186" s="194"/>
      <c r="G1186" s="195"/>
      <c r="H1186" s="38"/>
      <c r="I1186" s="38"/>
      <c r="J1186" s="38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 customHeight="1" x14ac:dyDescent="0.25">
      <c r="A1187" s="193"/>
      <c r="B1187" s="39"/>
      <c r="C1187" s="39"/>
      <c r="D1187" s="39"/>
      <c r="E1187" s="39"/>
      <c r="F1187" s="194"/>
      <c r="G1187" s="195"/>
      <c r="H1187" s="38"/>
      <c r="I1187" s="38"/>
      <c r="J1187" s="38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 customHeight="1" x14ac:dyDescent="0.25">
      <c r="A1188" s="193"/>
      <c r="B1188" s="39"/>
      <c r="C1188" s="39"/>
      <c r="D1188" s="39"/>
      <c r="E1188" s="39"/>
      <c r="F1188" s="194"/>
      <c r="G1188" s="195"/>
      <c r="H1188" s="38"/>
      <c r="I1188" s="38"/>
      <c r="J1188" s="38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 customHeight="1" x14ac:dyDescent="0.25">
      <c r="A1189" s="193"/>
      <c r="B1189" s="39"/>
      <c r="C1189" s="39"/>
      <c r="D1189" s="39"/>
      <c r="E1189" s="39"/>
      <c r="F1189" s="194"/>
      <c r="G1189" s="195"/>
      <c r="H1189" s="38"/>
      <c r="I1189" s="38"/>
      <c r="J1189" s="38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 customHeight="1" x14ac:dyDescent="0.25">
      <c r="A1190" s="193"/>
      <c r="B1190" s="39"/>
      <c r="C1190" s="39"/>
      <c r="D1190" s="39"/>
      <c r="E1190" s="39"/>
      <c r="F1190" s="194"/>
      <c r="G1190" s="195"/>
      <c r="H1190" s="38"/>
      <c r="I1190" s="38"/>
      <c r="J1190" s="38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 customHeight="1" x14ac:dyDescent="0.25">
      <c r="A1191" s="193"/>
      <c r="B1191" s="39"/>
      <c r="C1191" s="39"/>
      <c r="D1191" s="39"/>
      <c r="E1191" s="39"/>
      <c r="F1191" s="194"/>
      <c r="G1191" s="195"/>
      <c r="H1191" s="38"/>
      <c r="I1191" s="38"/>
      <c r="J1191" s="38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 customHeight="1" x14ac:dyDescent="0.25">
      <c r="A1192" s="193"/>
      <c r="B1192" s="39"/>
      <c r="C1192" s="39"/>
      <c r="D1192" s="39"/>
      <c r="E1192" s="39"/>
      <c r="F1192" s="194"/>
      <c r="G1192" s="195"/>
      <c r="H1192" s="38"/>
      <c r="I1192" s="38"/>
      <c r="J1192" s="38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 customHeight="1" x14ac:dyDescent="0.25">
      <c r="A1193" s="193"/>
      <c r="B1193" s="39"/>
      <c r="C1193" s="39"/>
      <c r="D1193" s="39"/>
      <c r="E1193" s="39"/>
      <c r="F1193" s="194"/>
      <c r="G1193" s="195"/>
      <c r="H1193" s="38"/>
      <c r="I1193" s="38"/>
      <c r="J1193" s="38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 customHeight="1" x14ac:dyDescent="0.25">
      <c r="A1194" s="193"/>
      <c r="B1194" s="39"/>
      <c r="C1194" s="39"/>
      <c r="D1194" s="39"/>
      <c r="E1194" s="39"/>
      <c r="F1194" s="194"/>
      <c r="G1194" s="195"/>
      <c r="H1194" s="38"/>
      <c r="I1194" s="38"/>
      <c r="J1194" s="38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 customHeight="1" x14ac:dyDescent="0.25">
      <c r="A1195" s="193"/>
      <c r="B1195" s="39"/>
      <c r="C1195" s="39"/>
      <c r="D1195" s="39"/>
      <c r="E1195" s="39"/>
      <c r="F1195" s="194"/>
      <c r="G1195" s="195"/>
      <c r="H1195" s="38"/>
      <c r="I1195" s="38"/>
      <c r="J1195" s="38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 customHeight="1" x14ac:dyDescent="0.25">
      <c r="A1196" s="193"/>
      <c r="B1196" s="39"/>
      <c r="C1196" s="39"/>
      <c r="D1196" s="39"/>
      <c r="E1196" s="39"/>
      <c r="F1196" s="194"/>
      <c r="G1196" s="195"/>
      <c r="H1196" s="38"/>
      <c r="I1196" s="38"/>
      <c r="J1196" s="38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 customHeight="1" x14ac:dyDescent="0.25">
      <c r="A1197" s="193"/>
      <c r="B1197" s="39"/>
      <c r="C1197" s="39"/>
      <c r="D1197" s="39"/>
      <c r="E1197" s="39"/>
      <c r="F1197" s="194"/>
      <c r="G1197" s="195"/>
      <c r="H1197" s="38"/>
      <c r="I1197" s="38"/>
      <c r="J1197" s="38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 customHeight="1" x14ac:dyDescent="0.25">
      <c r="A1198" s="193"/>
      <c r="B1198" s="39"/>
      <c r="C1198" s="39"/>
      <c r="D1198" s="39"/>
      <c r="E1198" s="39"/>
      <c r="F1198" s="194"/>
      <c r="G1198" s="195"/>
      <c r="H1198" s="38"/>
      <c r="I1198" s="38"/>
      <c r="J1198" s="38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 customHeight="1" x14ac:dyDescent="0.25">
      <c r="A1199" s="193"/>
      <c r="B1199" s="39"/>
      <c r="C1199" s="39"/>
      <c r="D1199" s="39"/>
      <c r="E1199" s="39"/>
      <c r="F1199" s="194"/>
      <c r="G1199" s="195"/>
      <c r="H1199" s="38"/>
      <c r="I1199" s="38"/>
      <c r="J1199" s="38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 customHeight="1" x14ac:dyDescent="0.25">
      <c r="A1200" s="193"/>
      <c r="B1200" s="39"/>
      <c r="C1200" s="39"/>
      <c r="D1200" s="39"/>
      <c r="E1200" s="39"/>
      <c r="F1200" s="194"/>
      <c r="G1200" s="195"/>
      <c r="H1200" s="38"/>
      <c r="I1200" s="38"/>
      <c r="J1200" s="38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 customHeight="1" x14ac:dyDescent="0.25">
      <c r="A1201" s="193"/>
      <c r="B1201" s="39"/>
      <c r="C1201" s="39"/>
      <c r="D1201" s="39"/>
      <c r="E1201" s="39"/>
      <c r="F1201" s="194"/>
      <c r="G1201" s="195"/>
      <c r="H1201" s="38"/>
      <c r="I1201" s="38"/>
      <c r="J1201" s="38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 customHeight="1" x14ac:dyDescent="0.25">
      <c r="A1202" s="193"/>
      <c r="B1202" s="39"/>
      <c r="C1202" s="39"/>
      <c r="D1202" s="39"/>
      <c r="E1202" s="39"/>
      <c r="F1202" s="194"/>
      <c r="G1202" s="195"/>
      <c r="H1202" s="38"/>
      <c r="I1202" s="38"/>
      <c r="J1202" s="38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 customHeight="1" x14ac:dyDescent="0.25">
      <c r="A1203" s="193"/>
      <c r="B1203" s="39"/>
      <c r="C1203" s="39"/>
      <c r="D1203" s="39"/>
      <c r="E1203" s="39"/>
      <c r="F1203" s="194"/>
      <c r="G1203" s="195"/>
      <c r="H1203" s="38"/>
      <c r="I1203" s="38"/>
      <c r="J1203" s="38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 customHeight="1" x14ac:dyDescent="0.25">
      <c r="A1204" s="193"/>
      <c r="B1204" s="39"/>
      <c r="C1204" s="39"/>
      <c r="D1204" s="39"/>
      <c r="E1204" s="39"/>
      <c r="F1204" s="194"/>
      <c r="G1204" s="195"/>
      <c r="H1204" s="38"/>
      <c r="I1204" s="38"/>
      <c r="J1204" s="38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 customHeight="1" x14ac:dyDescent="0.25">
      <c r="A1205" s="193"/>
      <c r="B1205" s="39"/>
      <c r="C1205" s="39"/>
      <c r="D1205" s="39"/>
      <c r="E1205" s="39"/>
      <c r="F1205" s="194"/>
      <c r="G1205" s="195"/>
      <c r="H1205" s="38"/>
      <c r="I1205" s="38"/>
      <c r="J1205" s="38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 customHeight="1" x14ac:dyDescent="0.25">
      <c r="A1206" s="193"/>
      <c r="B1206" s="39"/>
      <c r="C1206" s="39"/>
      <c r="D1206" s="39"/>
      <c r="E1206" s="39"/>
      <c r="F1206" s="194"/>
      <c r="G1206" s="195"/>
      <c r="H1206" s="38"/>
      <c r="I1206" s="38"/>
      <c r="J1206" s="38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 customHeight="1" x14ac:dyDescent="0.25">
      <c r="A1207" s="193"/>
      <c r="B1207" s="39"/>
      <c r="C1207" s="39"/>
      <c r="D1207" s="39"/>
      <c r="E1207" s="39"/>
      <c r="F1207" s="194"/>
      <c r="G1207" s="195"/>
      <c r="H1207" s="38"/>
      <c r="I1207" s="38"/>
      <c r="J1207" s="38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 customHeight="1" x14ac:dyDescent="0.25">
      <c r="A1208" s="193"/>
      <c r="B1208" s="39"/>
      <c r="C1208" s="39"/>
      <c r="D1208" s="39"/>
      <c r="E1208" s="39"/>
      <c r="F1208" s="194"/>
      <c r="G1208" s="195"/>
      <c r="H1208" s="38"/>
      <c r="I1208" s="38"/>
      <c r="J1208" s="38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 customHeight="1" x14ac:dyDescent="0.25">
      <c r="A1209" s="193"/>
      <c r="B1209" s="39"/>
      <c r="C1209" s="39"/>
      <c r="D1209" s="39"/>
      <c r="E1209" s="39"/>
      <c r="F1209" s="194"/>
      <c r="G1209" s="195"/>
      <c r="H1209" s="38"/>
      <c r="I1209" s="38"/>
      <c r="J1209" s="38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 customHeight="1" x14ac:dyDescent="0.25">
      <c r="A1210" s="193"/>
      <c r="B1210" s="39"/>
      <c r="C1210" s="39"/>
      <c r="D1210" s="39"/>
      <c r="E1210" s="39"/>
      <c r="F1210" s="194"/>
      <c r="G1210" s="195"/>
      <c r="H1210" s="38"/>
      <c r="I1210" s="38"/>
      <c r="J1210" s="38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 customHeight="1" x14ac:dyDescent="0.25">
      <c r="A1211" s="193"/>
      <c r="B1211" s="39"/>
      <c r="C1211" s="39"/>
      <c r="D1211" s="39"/>
      <c r="E1211" s="39"/>
      <c r="F1211" s="194"/>
      <c r="G1211" s="195"/>
      <c r="H1211" s="38"/>
      <c r="I1211" s="38"/>
      <c r="J1211" s="38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 customHeight="1" x14ac:dyDescent="0.25">
      <c r="A1212" s="193"/>
      <c r="B1212" s="39"/>
      <c r="C1212" s="39"/>
      <c r="D1212" s="39"/>
      <c r="E1212" s="39"/>
      <c r="F1212" s="194"/>
      <c r="G1212" s="195"/>
      <c r="H1212" s="38"/>
      <c r="I1212" s="38"/>
      <c r="J1212" s="38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 customHeight="1" x14ac:dyDescent="0.25">
      <c r="A1213" s="193"/>
      <c r="B1213" s="39"/>
      <c r="C1213" s="39"/>
      <c r="D1213" s="39"/>
      <c r="E1213" s="39"/>
      <c r="F1213" s="194"/>
      <c r="G1213" s="195"/>
      <c r="H1213" s="38"/>
      <c r="I1213" s="38"/>
      <c r="J1213" s="38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 customHeight="1" x14ac:dyDescent="0.25">
      <c r="A1214" s="193"/>
      <c r="B1214" s="39"/>
      <c r="C1214" s="39"/>
      <c r="D1214" s="39"/>
      <c r="E1214" s="39"/>
      <c r="F1214" s="194"/>
      <c r="G1214" s="195"/>
      <c r="H1214" s="38"/>
      <c r="I1214" s="38"/>
      <c r="J1214" s="38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 customHeight="1" x14ac:dyDescent="0.25">
      <c r="A1215" s="193"/>
      <c r="B1215" s="39"/>
      <c r="C1215" s="39"/>
      <c r="D1215" s="39"/>
      <c r="E1215" s="39"/>
      <c r="F1215" s="194"/>
      <c r="G1215" s="195"/>
      <c r="H1215" s="38"/>
      <c r="I1215" s="38"/>
      <c r="J1215" s="38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 customHeight="1" x14ac:dyDescent="0.25">
      <c r="A1216" s="193"/>
      <c r="B1216" s="39"/>
      <c r="C1216" s="39"/>
      <c r="D1216" s="39"/>
      <c r="E1216" s="39"/>
      <c r="F1216" s="194"/>
      <c r="G1216" s="195"/>
      <c r="H1216" s="38"/>
      <c r="I1216" s="38"/>
      <c r="J1216" s="38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 customHeight="1" x14ac:dyDescent="0.25">
      <c r="A1217" s="193"/>
      <c r="B1217" s="39"/>
      <c r="C1217" s="39"/>
      <c r="D1217" s="39"/>
      <c r="E1217" s="39"/>
      <c r="F1217" s="194"/>
      <c r="G1217" s="195"/>
      <c r="H1217" s="38"/>
      <c r="I1217" s="38"/>
      <c r="J1217" s="38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 customHeight="1" x14ac:dyDescent="0.25">
      <c r="A1218" s="193"/>
      <c r="B1218" s="39"/>
      <c r="C1218" s="39"/>
      <c r="D1218" s="39"/>
      <c r="E1218" s="39"/>
      <c r="F1218" s="194"/>
      <c r="G1218" s="195"/>
      <c r="H1218" s="38"/>
      <c r="I1218" s="38"/>
      <c r="J1218" s="38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 customHeight="1" x14ac:dyDescent="0.25">
      <c r="A1219" s="193"/>
      <c r="B1219" s="39"/>
      <c r="C1219" s="39"/>
      <c r="D1219" s="39"/>
      <c r="E1219" s="39"/>
      <c r="F1219" s="194"/>
      <c r="G1219" s="195"/>
      <c r="H1219" s="38"/>
      <c r="I1219" s="38"/>
      <c r="J1219" s="38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 customHeight="1" x14ac:dyDescent="0.25">
      <c r="A1220" s="193"/>
      <c r="B1220" s="39"/>
      <c r="C1220" s="39"/>
      <c r="D1220" s="39"/>
      <c r="E1220" s="39"/>
      <c r="F1220" s="194"/>
      <c r="G1220" s="195"/>
      <c r="H1220" s="38"/>
      <c r="I1220" s="38"/>
      <c r="J1220" s="38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 customHeight="1" x14ac:dyDescent="0.25">
      <c r="A1221" s="193"/>
      <c r="B1221" s="39"/>
      <c r="C1221" s="39"/>
      <c r="D1221" s="39"/>
      <c r="E1221" s="39"/>
      <c r="F1221" s="194"/>
      <c r="G1221" s="195"/>
      <c r="H1221" s="38"/>
      <c r="I1221" s="38"/>
      <c r="J1221" s="38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 customHeight="1" x14ac:dyDescent="0.25">
      <c r="A1222" s="193"/>
      <c r="B1222" s="39"/>
      <c r="C1222" s="39"/>
      <c r="D1222" s="39"/>
      <c r="E1222" s="39"/>
      <c r="F1222" s="194"/>
      <c r="G1222" s="195"/>
      <c r="H1222" s="38"/>
      <c r="I1222" s="38"/>
      <c r="J1222" s="38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 customHeight="1" x14ac:dyDescent="0.25">
      <c r="A1223" s="193"/>
      <c r="B1223" s="39"/>
      <c r="C1223" s="39"/>
      <c r="D1223" s="39"/>
      <c r="E1223" s="39"/>
      <c r="F1223" s="194"/>
      <c r="G1223" s="195"/>
      <c r="H1223" s="38"/>
      <c r="I1223" s="38"/>
      <c r="J1223" s="38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 customHeight="1" x14ac:dyDescent="0.25">
      <c r="A1224" s="193"/>
      <c r="B1224" s="39"/>
      <c r="C1224" s="39"/>
      <c r="D1224" s="39"/>
      <c r="E1224" s="39"/>
      <c r="F1224" s="194"/>
      <c r="G1224" s="195"/>
      <c r="H1224" s="38"/>
      <c r="I1224" s="38"/>
      <c r="J1224" s="38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 customHeight="1" x14ac:dyDescent="0.25">
      <c r="A1225" s="193"/>
      <c r="B1225" s="39"/>
      <c r="C1225" s="39"/>
      <c r="D1225" s="39"/>
      <c r="E1225" s="39"/>
      <c r="F1225" s="194"/>
      <c r="G1225" s="195"/>
      <c r="H1225" s="38"/>
      <c r="I1225" s="38"/>
      <c r="J1225" s="38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 customHeight="1" x14ac:dyDescent="0.25">
      <c r="A1226" s="193"/>
      <c r="B1226" s="39"/>
      <c r="C1226" s="39"/>
      <c r="D1226" s="39"/>
      <c r="E1226" s="39"/>
      <c r="F1226" s="194"/>
      <c r="G1226" s="195"/>
      <c r="H1226" s="38"/>
      <c r="I1226" s="38"/>
      <c r="J1226" s="38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 customHeight="1" x14ac:dyDescent="0.25">
      <c r="A1227" s="193"/>
      <c r="B1227" s="39"/>
      <c r="C1227" s="39"/>
      <c r="D1227" s="39"/>
      <c r="E1227" s="39"/>
      <c r="F1227" s="194"/>
      <c r="G1227" s="195"/>
      <c r="H1227" s="38"/>
      <c r="I1227" s="38"/>
      <c r="J1227" s="38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 customHeight="1" x14ac:dyDescent="0.25">
      <c r="A1228" s="193"/>
      <c r="B1228" s="39"/>
      <c r="C1228" s="39"/>
      <c r="D1228" s="39"/>
      <c r="E1228" s="39"/>
      <c r="F1228" s="194"/>
      <c r="G1228" s="195"/>
      <c r="H1228" s="38"/>
      <c r="I1228" s="38"/>
      <c r="J1228" s="38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 customHeight="1" x14ac:dyDescent="0.25">
      <c r="A1229" s="193"/>
      <c r="B1229" s="39"/>
      <c r="C1229" s="39"/>
      <c r="D1229" s="39"/>
      <c r="E1229" s="39"/>
      <c r="F1229" s="194"/>
      <c r="G1229" s="195"/>
      <c r="H1229" s="38"/>
      <c r="I1229" s="38"/>
      <c r="J1229" s="38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 customHeight="1" x14ac:dyDescent="0.25">
      <c r="A1230" s="193"/>
      <c r="B1230" s="39"/>
      <c r="C1230" s="39"/>
      <c r="D1230" s="39"/>
      <c r="E1230" s="39"/>
      <c r="F1230" s="194"/>
      <c r="G1230" s="195"/>
      <c r="H1230" s="38"/>
      <c r="I1230" s="38"/>
      <c r="J1230" s="38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 customHeight="1" x14ac:dyDescent="0.25">
      <c r="A1231" s="193"/>
      <c r="B1231" s="39"/>
      <c r="C1231" s="39"/>
      <c r="D1231" s="39"/>
      <c r="E1231" s="39"/>
      <c r="F1231" s="194"/>
      <c r="G1231" s="195"/>
      <c r="H1231" s="38"/>
      <c r="I1231" s="38"/>
      <c r="J1231" s="38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 customHeight="1" x14ac:dyDescent="0.25">
      <c r="A1232" s="193"/>
      <c r="B1232" s="39"/>
      <c r="C1232" s="39"/>
      <c r="D1232" s="39"/>
      <c r="E1232" s="39"/>
      <c r="F1232" s="194"/>
      <c r="G1232" s="195"/>
      <c r="H1232" s="38"/>
      <c r="I1232" s="38"/>
      <c r="J1232" s="38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 customHeight="1" x14ac:dyDescent="0.25">
      <c r="A1233" s="193"/>
      <c r="B1233" s="39"/>
      <c r="C1233" s="39"/>
      <c r="D1233" s="39"/>
      <c r="E1233" s="39"/>
      <c r="F1233" s="194"/>
      <c r="G1233" s="195"/>
      <c r="H1233" s="38"/>
      <c r="I1233" s="38"/>
      <c r="J1233" s="38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 customHeight="1" x14ac:dyDescent="0.25">
      <c r="A1234" s="193"/>
      <c r="B1234" s="39"/>
      <c r="C1234" s="39"/>
      <c r="D1234" s="39"/>
      <c r="E1234" s="39"/>
      <c r="F1234" s="194"/>
      <c r="G1234" s="195"/>
      <c r="H1234" s="38"/>
      <c r="I1234" s="38"/>
      <c r="J1234" s="38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 customHeight="1" x14ac:dyDescent="0.25">
      <c r="A1235" s="193"/>
      <c r="B1235" s="39"/>
      <c r="C1235" s="39"/>
      <c r="D1235" s="39"/>
      <c r="E1235" s="39"/>
      <c r="F1235" s="194"/>
      <c r="G1235" s="195"/>
      <c r="H1235" s="38"/>
      <c r="I1235" s="38"/>
      <c r="J1235" s="38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 customHeight="1" x14ac:dyDescent="0.25">
      <c r="A1236" s="193"/>
      <c r="B1236" s="39"/>
      <c r="C1236" s="39"/>
      <c r="D1236" s="39"/>
      <c r="E1236" s="39"/>
      <c r="F1236" s="194"/>
      <c r="G1236" s="195"/>
      <c r="H1236" s="38"/>
      <c r="I1236" s="38"/>
      <c r="J1236" s="38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 customHeight="1" x14ac:dyDescent="0.25">
      <c r="A1237" s="193"/>
      <c r="B1237" s="39"/>
      <c r="C1237" s="39"/>
      <c r="D1237" s="39"/>
      <c r="E1237" s="39"/>
      <c r="F1237" s="194"/>
      <c r="G1237" s="195"/>
      <c r="H1237" s="38"/>
      <c r="I1237" s="38"/>
      <c r="J1237" s="38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 customHeight="1" x14ac:dyDescent="0.25">
      <c r="A1238" s="193"/>
      <c r="B1238" s="39"/>
      <c r="C1238" s="39"/>
      <c r="D1238" s="39"/>
      <c r="E1238" s="39"/>
      <c r="F1238" s="194"/>
      <c r="G1238" s="195"/>
      <c r="H1238" s="38"/>
      <c r="I1238" s="38"/>
      <c r="J1238" s="38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 customHeight="1" x14ac:dyDescent="0.25">
      <c r="A1239" s="193"/>
      <c r="B1239" s="39"/>
      <c r="C1239" s="39"/>
      <c r="D1239" s="39"/>
      <c r="E1239" s="39"/>
      <c r="F1239" s="194"/>
      <c r="G1239" s="195"/>
      <c r="H1239" s="38"/>
      <c r="I1239" s="38"/>
      <c r="J1239" s="38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 customHeight="1" x14ac:dyDescent="0.25">
      <c r="A1240" s="193"/>
      <c r="B1240" s="39"/>
      <c r="C1240" s="39"/>
      <c r="D1240" s="39"/>
      <c r="E1240" s="39"/>
      <c r="F1240" s="194"/>
      <c r="G1240" s="195"/>
      <c r="H1240" s="38"/>
      <c r="I1240" s="38"/>
      <c r="J1240" s="38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 customHeight="1" x14ac:dyDescent="0.25">
      <c r="A1241" s="193"/>
      <c r="B1241" s="39"/>
      <c r="C1241" s="39"/>
      <c r="D1241" s="39"/>
      <c r="E1241" s="39"/>
      <c r="F1241" s="194"/>
      <c r="G1241" s="195"/>
      <c r="H1241" s="38"/>
      <c r="I1241" s="38"/>
      <c r="J1241" s="38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 customHeight="1" x14ac:dyDescent="0.25">
      <c r="A1242" s="193"/>
      <c r="B1242" s="39"/>
      <c r="C1242" s="39"/>
      <c r="D1242" s="39"/>
      <c r="E1242" s="39"/>
      <c r="F1242" s="194"/>
      <c r="G1242" s="195"/>
      <c r="H1242" s="38"/>
      <c r="I1242" s="38"/>
      <c r="J1242" s="38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 customHeight="1" x14ac:dyDescent="0.25">
      <c r="A1243" s="193"/>
      <c r="B1243" s="39"/>
      <c r="C1243" s="39"/>
      <c r="D1243" s="39"/>
      <c r="E1243" s="39"/>
      <c r="F1243" s="194"/>
      <c r="G1243" s="195"/>
      <c r="H1243" s="38"/>
      <c r="I1243" s="38"/>
      <c r="J1243" s="38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 customHeight="1" x14ac:dyDescent="0.25">
      <c r="A1244" s="193"/>
      <c r="B1244" s="39"/>
      <c r="C1244" s="39"/>
      <c r="D1244" s="39"/>
      <c r="E1244" s="39"/>
      <c r="F1244" s="194"/>
      <c r="G1244" s="195"/>
      <c r="H1244" s="38"/>
      <c r="I1244" s="38"/>
      <c r="J1244" s="38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 customHeight="1" x14ac:dyDescent="0.25">
      <c r="A1245" s="193"/>
      <c r="B1245" s="39"/>
      <c r="C1245" s="39"/>
      <c r="D1245" s="39"/>
      <c r="E1245" s="39"/>
      <c r="F1245" s="194"/>
      <c r="G1245" s="195"/>
      <c r="H1245" s="38"/>
      <c r="I1245" s="38"/>
      <c r="J1245" s="38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 customHeight="1" x14ac:dyDescent="0.25">
      <c r="A1246" s="193"/>
      <c r="B1246" s="39"/>
      <c r="C1246" s="39"/>
      <c r="D1246" s="39"/>
      <c r="E1246" s="39"/>
      <c r="F1246" s="194"/>
      <c r="G1246" s="195"/>
      <c r="H1246" s="38"/>
      <c r="I1246" s="38"/>
      <c r="J1246" s="38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 customHeight="1" x14ac:dyDescent="0.25">
      <c r="A1247" s="193"/>
      <c r="B1247" s="39"/>
      <c r="C1247" s="39"/>
      <c r="D1247" s="39"/>
      <c r="E1247" s="39"/>
      <c r="F1247" s="194"/>
      <c r="G1247" s="195"/>
      <c r="H1247" s="38"/>
      <c r="I1247" s="38"/>
      <c r="J1247" s="38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 customHeight="1" x14ac:dyDescent="0.25">
      <c r="A1248" s="193"/>
      <c r="B1248" s="39"/>
      <c r="C1248" s="39"/>
      <c r="D1248" s="39"/>
      <c r="E1248" s="39"/>
      <c r="F1248" s="194"/>
      <c r="G1248" s="195"/>
      <c r="H1248" s="38"/>
      <c r="I1248" s="38"/>
      <c r="J1248" s="38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 customHeight="1" x14ac:dyDescent="0.25">
      <c r="A1249" s="193"/>
      <c r="B1249" s="39"/>
      <c r="C1249" s="39"/>
      <c r="D1249" s="39"/>
      <c r="E1249" s="39"/>
      <c r="F1249" s="194"/>
      <c r="G1249" s="195"/>
      <c r="H1249" s="38"/>
      <c r="I1249" s="38"/>
      <c r="J1249" s="38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 customHeight="1" x14ac:dyDescent="0.25">
      <c r="A1250" s="193"/>
      <c r="B1250" s="39"/>
      <c r="C1250" s="39"/>
      <c r="D1250" s="39"/>
      <c r="E1250" s="39"/>
      <c r="F1250" s="194"/>
      <c r="G1250" s="195"/>
      <c r="H1250" s="38"/>
      <c r="I1250" s="38"/>
      <c r="J1250" s="38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 customHeight="1" x14ac:dyDescent="0.25">
      <c r="A1251" s="193"/>
      <c r="B1251" s="39"/>
      <c r="C1251" s="39"/>
      <c r="D1251" s="39"/>
      <c r="E1251" s="39"/>
      <c r="F1251" s="194"/>
      <c r="G1251" s="195"/>
      <c r="H1251" s="38"/>
      <c r="I1251" s="38"/>
      <c r="J1251" s="38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 customHeight="1" x14ac:dyDescent="0.25">
      <c r="A1252" s="193"/>
      <c r="B1252" s="39"/>
      <c r="C1252" s="39"/>
      <c r="D1252" s="39"/>
      <c r="E1252" s="39"/>
      <c r="F1252" s="194"/>
      <c r="G1252" s="195"/>
      <c r="H1252" s="38"/>
      <c r="I1252" s="38"/>
      <c r="J1252" s="38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 customHeight="1" x14ac:dyDescent="0.25">
      <c r="A1253" s="193"/>
      <c r="B1253" s="39"/>
      <c r="C1253" s="39"/>
      <c r="D1253" s="39"/>
      <c r="E1253" s="39"/>
      <c r="F1253" s="194"/>
      <c r="G1253" s="195"/>
      <c r="H1253" s="38"/>
      <c r="I1253" s="38"/>
      <c r="J1253" s="38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 customHeight="1" x14ac:dyDescent="0.25">
      <c r="A1254" s="193"/>
      <c r="B1254" s="39"/>
      <c r="C1254" s="39"/>
      <c r="D1254" s="39"/>
      <c r="E1254" s="39"/>
      <c r="F1254" s="194"/>
      <c r="G1254" s="195"/>
      <c r="H1254" s="38"/>
      <c r="I1254" s="38"/>
      <c r="J1254" s="38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 customHeight="1" x14ac:dyDescent="0.25">
      <c r="A1255" s="193"/>
      <c r="B1255" s="39"/>
      <c r="C1255" s="39"/>
      <c r="D1255" s="39"/>
      <c r="E1255" s="39"/>
      <c r="F1255" s="194"/>
      <c r="G1255" s="195"/>
      <c r="H1255" s="38"/>
      <c r="I1255" s="38"/>
      <c r="J1255" s="38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 customHeight="1" x14ac:dyDescent="0.25">
      <c r="A1256" s="193"/>
      <c r="B1256" s="39"/>
      <c r="C1256" s="39"/>
      <c r="D1256" s="39"/>
      <c r="E1256" s="39"/>
      <c r="F1256" s="194"/>
      <c r="G1256" s="195"/>
      <c r="H1256" s="38"/>
      <c r="I1256" s="38"/>
      <c r="J1256" s="38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 customHeight="1" x14ac:dyDescent="0.25">
      <c r="A1257" s="193"/>
      <c r="B1257" s="39"/>
      <c r="C1257" s="39"/>
      <c r="D1257" s="39"/>
      <c r="E1257" s="39"/>
      <c r="F1257" s="194"/>
      <c r="G1257" s="195"/>
      <c r="H1257" s="38"/>
      <c r="I1257" s="38"/>
      <c r="J1257" s="38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 customHeight="1" x14ac:dyDescent="0.25">
      <c r="A1258" s="193"/>
      <c r="B1258" s="39"/>
      <c r="C1258" s="39"/>
      <c r="D1258" s="39"/>
      <c r="E1258" s="39"/>
      <c r="F1258" s="194"/>
      <c r="G1258" s="195"/>
      <c r="H1258" s="38"/>
      <c r="I1258" s="38"/>
      <c r="J1258" s="38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 customHeight="1" x14ac:dyDescent="0.25">
      <c r="A1259" s="193"/>
      <c r="B1259" s="39"/>
      <c r="C1259" s="39"/>
      <c r="D1259" s="39"/>
      <c r="E1259" s="39"/>
      <c r="F1259" s="194"/>
      <c r="G1259" s="195"/>
      <c r="H1259" s="38"/>
      <c r="I1259" s="38"/>
      <c r="J1259" s="38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 customHeight="1" x14ac:dyDescent="0.25">
      <c r="A1260" s="193"/>
      <c r="B1260" s="39"/>
      <c r="C1260" s="39"/>
      <c r="D1260" s="39"/>
      <c r="E1260" s="39"/>
      <c r="F1260" s="194"/>
      <c r="G1260" s="195"/>
      <c r="H1260" s="38"/>
      <c r="I1260" s="38"/>
      <c r="J1260" s="38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</sheetData>
  <sheetProtection algorithmName="SHA-512" hashValue="bkVxC6rHUS/mov0jTgrpk9/2gdOYyER6/V3wDawhLRHsEyuTt548fujRrZfqPUWVQGyenhB2DwBITIFyWDjqfQ==" saltValue="qp0iyDehYe9glgBoNelDUw==" spinCount="100000" sheet="1" objects="1" scenarios="1"/>
  <mergeCells count="1">
    <mergeCell ref="A1:G1"/>
  </mergeCells>
  <pageMargins left="0.74803149606299213" right="0.74803149606299213" top="0.98425196850393704" bottom="0.98425196850393704" header="0" footer="0"/>
  <pageSetup scale="85" orientation="landscape"/>
  <ignoredErrors>
    <ignoredError sqref="F382:G382 G447 F342:G34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Z24"/>
  <sheetViews>
    <sheetView showGridLines="0" topLeftCell="B1" workbookViewId="0">
      <selection activeCell="B18" sqref="B18:I18"/>
    </sheetView>
  </sheetViews>
  <sheetFormatPr baseColWidth="10" defaultColWidth="14.42578125" defaultRowHeight="15" customHeight="1" x14ac:dyDescent="0.25"/>
  <cols>
    <col min="1" max="1" width="1.7109375" customWidth="1"/>
    <col min="2" max="2" width="13.28515625" customWidth="1"/>
    <col min="3" max="3" width="17.28515625" customWidth="1"/>
    <col min="4" max="4" width="17.85546875" customWidth="1"/>
    <col min="5" max="5" width="11.5703125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2.5703125" customWidth="1"/>
    <col min="12" max="12" width="13.5703125" customWidth="1"/>
    <col min="13" max="13" width="12.28515625" customWidth="1"/>
    <col min="14" max="14" width="13.5703125" customWidth="1"/>
    <col min="15" max="15" width="11.42578125" customWidth="1"/>
    <col min="16" max="16" width="13.5703125" customWidth="1"/>
    <col min="17" max="26" width="11.42578125" customWidth="1"/>
  </cols>
  <sheetData>
    <row r="2" spans="2:15" ht="18.75" x14ac:dyDescent="0.3">
      <c r="B2" s="427" t="s">
        <v>712</v>
      </c>
      <c r="C2" s="367"/>
      <c r="D2" s="367"/>
      <c r="E2" s="367"/>
      <c r="F2" s="367"/>
      <c r="G2" s="367"/>
      <c r="H2" s="367"/>
      <c r="I2" s="367"/>
      <c r="J2" s="367"/>
    </row>
    <row r="3" spans="2:15" x14ac:dyDescent="0.25">
      <c r="L3" s="1"/>
      <c r="N3" s="1"/>
    </row>
    <row r="4" spans="2:15" x14ac:dyDescent="0.25">
      <c r="B4" s="423" t="s">
        <v>0</v>
      </c>
      <c r="C4" s="428" t="s">
        <v>1</v>
      </c>
      <c r="D4" s="411"/>
      <c r="E4" s="429" t="s">
        <v>2</v>
      </c>
      <c r="F4" s="411"/>
      <c r="G4" s="426" t="s">
        <v>3</v>
      </c>
      <c r="H4" s="409"/>
      <c r="I4" s="411"/>
      <c r="J4" s="430" t="s">
        <v>4</v>
      </c>
      <c r="L4" s="1"/>
      <c r="N4" s="1"/>
    </row>
    <row r="5" spans="2:15" ht="33.75" customHeight="1" x14ac:dyDescent="0.25">
      <c r="B5" s="424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416"/>
      <c r="L5" s="1"/>
      <c r="N5" s="1"/>
    </row>
    <row r="6" spans="2:15" x14ac:dyDescent="0.25">
      <c r="B6" s="9" t="s">
        <v>10</v>
      </c>
      <c r="C6" s="10">
        <f>+'CALCULO TARIFAS CC '!$M$22</f>
        <v>2237467.16</v>
      </c>
      <c r="D6" s="11">
        <f>+'CALCULO TARIFAS CC '!N37</f>
        <v>359706.66999999993</v>
      </c>
      <c r="E6" s="12">
        <f>+'CALCULO TARIFAS CC '!U5</f>
        <v>4303807.3437000001</v>
      </c>
      <c r="F6" s="13">
        <f>+'CALCULO TARIFAS CC '!N5</f>
        <v>910979.96299999999</v>
      </c>
      <c r="G6" s="14">
        <f>'CALCULO TARIFAS CC '!N43</f>
        <v>0.51988088251098175</v>
      </c>
      <c r="H6" s="15">
        <f>+'CALCULO TARIFAS CC '!N44</f>
        <v>0.39485684055599796</v>
      </c>
      <c r="I6" s="14">
        <f>+'CALCULO TARIFAS CC '!N45</f>
        <v>0.91473772306697976</v>
      </c>
      <c r="J6" s="16">
        <f>+'CALCULO CC AGENTES'!G557</f>
        <v>833307.73</v>
      </c>
      <c r="K6" s="1"/>
      <c r="L6" s="17"/>
      <c r="M6" s="18"/>
      <c r="N6" s="18"/>
      <c r="O6" s="19"/>
    </row>
    <row r="7" spans="2:15" x14ac:dyDescent="0.25">
      <c r="B7" s="9" t="s">
        <v>11</v>
      </c>
      <c r="C7" s="10">
        <f>+'CALCULO TARIFAS CC '!$M$22</f>
        <v>2237467.16</v>
      </c>
      <c r="D7" s="11">
        <f>+'CALCULO TARIFAS CC '!O37</f>
        <v>1231955.3800000001</v>
      </c>
      <c r="E7" s="12">
        <f>+'CALCULO TARIFAS CC '!U5</f>
        <v>4303807.3437000001</v>
      </c>
      <c r="F7" s="13">
        <f>+'CALCULO TARIFAS CC '!O5</f>
        <v>555765.22629999998</v>
      </c>
      <c r="G7" s="14">
        <f>+'CALCULO TARIFAS CC '!O43</f>
        <v>0.51988088251098175</v>
      </c>
      <c r="H7" s="15">
        <f>+'CALCULO TARIFAS CC '!O44</f>
        <v>2.2166830915308027</v>
      </c>
      <c r="I7" s="14">
        <f>+'CALCULO TARIFAS CC '!O45</f>
        <v>2.7365639740417844</v>
      </c>
      <c r="J7" s="16">
        <f>+'CALCULO CC AGENTES'!G558</f>
        <v>1520887.1</v>
      </c>
      <c r="K7" s="1"/>
      <c r="L7" s="17"/>
      <c r="M7" s="18"/>
      <c r="N7" s="18"/>
      <c r="O7" s="19"/>
    </row>
    <row r="8" spans="2:15" x14ac:dyDescent="0.25">
      <c r="B8" s="9" t="s">
        <v>12</v>
      </c>
      <c r="C8" s="10">
        <f>+'CALCULO TARIFAS CC '!$M$22</f>
        <v>2237467.16</v>
      </c>
      <c r="D8" s="11">
        <f>+'CALCULO TARIFAS CC '!P37</f>
        <v>167091.72999999998</v>
      </c>
      <c r="E8" s="12">
        <f>+'CALCULO TARIFAS CC '!U5</f>
        <v>4303807.3437000001</v>
      </c>
      <c r="F8" s="13">
        <f>+'CALCULO TARIFAS CC '!P5</f>
        <v>807127.36320000002</v>
      </c>
      <c r="G8" s="14">
        <f>+'CALCULO TARIFAS CC '!P43</f>
        <v>0.51988088251098175</v>
      </c>
      <c r="H8" s="15">
        <f>+'CALCULO TARIFAS CC '!P44</f>
        <v>0.20702027662342545</v>
      </c>
      <c r="I8" s="14">
        <f>+'CALCULO TARIFAS CC '!P45</f>
        <v>0.72690115913440723</v>
      </c>
      <c r="J8" s="16">
        <f>+'CALCULO CC AGENTES'!G559</f>
        <v>586701.81999999995</v>
      </c>
      <c r="K8" s="1"/>
      <c r="L8" s="17"/>
      <c r="M8" s="18"/>
      <c r="N8" s="18"/>
      <c r="O8" s="19"/>
    </row>
    <row r="9" spans="2:15" x14ac:dyDescent="0.25">
      <c r="B9" s="9" t="s">
        <v>13</v>
      </c>
      <c r="C9" s="10">
        <f>+'CALCULO TARIFAS CC '!$M$22</f>
        <v>2237467.16</v>
      </c>
      <c r="D9" s="11">
        <f>+'CALCULO TARIFAS CC '!Q37</f>
        <v>137565.01999999999</v>
      </c>
      <c r="E9" s="12">
        <f>+'CALCULO TARIFAS CC '!U5</f>
        <v>4303807.3437000001</v>
      </c>
      <c r="F9" s="13">
        <f>+'CALCULO TARIFAS CC '!Q5</f>
        <v>367129.74099999998</v>
      </c>
      <c r="G9" s="14">
        <f>+'CALCULO TARIFAS CC '!Q43</f>
        <v>0.51988088251098175</v>
      </c>
      <c r="H9" s="15">
        <f>+'CALCULO TARIFAS CC '!Q44</f>
        <v>0.37470410222090939</v>
      </c>
      <c r="I9" s="14">
        <f>+'CALCULO TARIFAS CC '!Q45</f>
        <v>0.89458498473189119</v>
      </c>
      <c r="J9" s="16">
        <f>+'CALCULO CC AGENTES'!G560</f>
        <v>328428.75</v>
      </c>
      <c r="K9" s="1"/>
      <c r="L9" s="17"/>
      <c r="M9" s="18"/>
      <c r="N9" s="18"/>
      <c r="O9" s="19"/>
    </row>
    <row r="10" spans="2:15" x14ac:dyDescent="0.25">
      <c r="B10" s="9" t="s">
        <v>14</v>
      </c>
      <c r="C10" s="10">
        <f>+'CALCULO TARIFAS CC '!$M$22</f>
        <v>2237467.16</v>
      </c>
      <c r="D10" s="11">
        <f>+'CALCULO TARIFAS CC '!R37</f>
        <v>1174718.51</v>
      </c>
      <c r="E10" s="12">
        <f>+'CALCULO TARIFAS CC '!U5</f>
        <v>4303807.3437000001</v>
      </c>
      <c r="F10" s="13">
        <f>+'CALCULO TARIFAS CC '!R5</f>
        <v>773375.24</v>
      </c>
      <c r="G10" s="14">
        <f>+'CALCULO TARIFAS CC '!R43</f>
        <v>0.51988088251098175</v>
      </c>
      <c r="H10" s="15">
        <f>+'CALCULO TARIFAS CC '!R44</f>
        <v>1.5189502446445013</v>
      </c>
      <c r="I10" s="14">
        <f>+'CALCULO TARIFAS CC '!R45</f>
        <v>2.0388311271554831</v>
      </c>
      <c r="J10" s="16">
        <f>+'CALCULO CC AGENTES'!G561</f>
        <v>1576781.51</v>
      </c>
      <c r="K10" s="1"/>
      <c r="L10" s="17"/>
      <c r="M10" s="18"/>
      <c r="N10" s="18"/>
      <c r="O10" s="19"/>
    </row>
    <row r="11" spans="2:15" x14ac:dyDescent="0.25">
      <c r="B11" s="9" t="s">
        <v>15</v>
      </c>
      <c r="C11" s="10">
        <f>+'CALCULO TARIFAS CC '!$M$22</f>
        <v>2237467.16</v>
      </c>
      <c r="D11" s="11">
        <f>+'CALCULO TARIFAS CC '!S37</f>
        <v>413068.01</v>
      </c>
      <c r="E11" s="12">
        <f>+'CALCULO TARIFAS CC '!U5</f>
        <v>4303807.3437000001</v>
      </c>
      <c r="F11" s="13">
        <f>+'CALCULO TARIFAS CC '!S5</f>
        <v>889429.81019999995</v>
      </c>
      <c r="G11" s="14">
        <f>+'CALCULO TARIFAS CC '!S43</f>
        <v>0.51988088251098175</v>
      </c>
      <c r="H11" s="15">
        <f>+'CALCULO TARIFAS CC '!S44</f>
        <v>0.46441889541246234</v>
      </c>
      <c r="I11" s="14">
        <f>+'CALCULO TARIFAS CC '!S45</f>
        <v>0.98429977792344414</v>
      </c>
      <c r="J11" s="16">
        <f>+'CALCULO CC AGENTES'!G562</f>
        <v>875465.57</v>
      </c>
      <c r="K11" s="1"/>
      <c r="L11" s="17"/>
      <c r="M11" s="18"/>
      <c r="N11" s="18"/>
      <c r="O11" s="19"/>
    </row>
    <row r="12" spans="2:15" x14ac:dyDescent="0.25">
      <c r="B12" s="20" t="s">
        <v>16</v>
      </c>
      <c r="C12" s="21">
        <f>+'CALCULO TARIFAS CC '!$M$22</f>
        <v>2237467.16</v>
      </c>
      <c r="D12" s="22">
        <f>SUM(D6:D11)</f>
        <v>3484105.3200000003</v>
      </c>
      <c r="E12" s="23">
        <f>+'CALCULO TARIFAS CC '!U5</f>
        <v>4303807.3437000001</v>
      </c>
      <c r="F12" s="23">
        <f>SUM(F6:F11)</f>
        <v>4303807.3437000001</v>
      </c>
      <c r="G12" s="24">
        <f t="shared" ref="G12:H12" si="0">+C12/E12</f>
        <v>0.51988088251098175</v>
      </c>
      <c r="H12" s="25">
        <f t="shared" si="0"/>
        <v>0.80954026092736331</v>
      </c>
      <c r="I12" s="25">
        <f>+H12+G12</f>
        <v>1.3294211434383452</v>
      </c>
      <c r="J12" s="26">
        <f>SUM(J6:J11)</f>
        <v>5721572.4800000004</v>
      </c>
      <c r="K12" s="1"/>
      <c r="O12" s="19"/>
    </row>
    <row r="16" spans="2:15" x14ac:dyDescent="0.25">
      <c r="B16" s="422" t="s">
        <v>351</v>
      </c>
      <c r="C16" s="409"/>
      <c r="D16" s="409"/>
      <c r="E16" s="409"/>
      <c r="F16" s="409"/>
      <c r="G16" s="409"/>
      <c r="H16" s="409"/>
      <c r="I16" s="411"/>
      <c r="J16" s="26">
        <f>ROUND('CALCULO TARIFAS CC '!G38-'CALCULO TARIFAS CC '!F38,2)</f>
        <v>5721572.4800000004</v>
      </c>
      <c r="K16" s="1"/>
      <c r="L16" s="19"/>
      <c r="N16" s="19"/>
    </row>
    <row r="17" spans="1:26" x14ac:dyDescent="0.25">
      <c r="B17" s="422" t="s">
        <v>713</v>
      </c>
      <c r="C17" s="409"/>
      <c r="D17" s="409"/>
      <c r="E17" s="409"/>
      <c r="F17" s="409"/>
      <c r="G17" s="409"/>
      <c r="H17" s="409"/>
      <c r="I17" s="411"/>
      <c r="J17" s="26">
        <f>'CALCULO TARIFAS CC '!H23</f>
        <v>6156631.3300000001</v>
      </c>
      <c r="L17" s="19"/>
      <c r="N17" s="19"/>
    </row>
    <row r="18" spans="1:26" x14ac:dyDescent="0.25">
      <c r="A18" s="27"/>
      <c r="B18" s="422" t="s">
        <v>352</v>
      </c>
      <c r="C18" s="409"/>
      <c r="D18" s="409"/>
      <c r="E18" s="409"/>
      <c r="F18" s="409"/>
      <c r="G18" s="409"/>
      <c r="H18" s="409"/>
      <c r="I18" s="411"/>
      <c r="J18" s="26">
        <f>'CALCULO TARIFAS CC '!J23</f>
        <v>0</v>
      </c>
      <c r="K18" s="27"/>
      <c r="L18" s="19"/>
      <c r="M18" s="27"/>
      <c r="N18" s="1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B19" s="425" t="s">
        <v>353</v>
      </c>
      <c r="C19" s="409"/>
      <c r="D19" s="409"/>
      <c r="E19" s="409"/>
      <c r="F19" s="409"/>
      <c r="G19" s="409"/>
      <c r="H19" s="409"/>
      <c r="I19" s="411"/>
      <c r="J19" s="26">
        <f>'CALCULO TARIFAS CC '!K23</f>
        <v>0</v>
      </c>
      <c r="L19" s="19"/>
      <c r="N19" s="27"/>
    </row>
    <row r="20" spans="1:26" ht="5.25" customHeight="1" x14ac:dyDescent="0.25">
      <c r="N20" s="27"/>
    </row>
    <row r="21" spans="1:26" x14ac:dyDescent="0.25">
      <c r="A21" s="27"/>
      <c r="B21" s="28" t="s">
        <v>17</v>
      </c>
      <c r="C21" s="29"/>
      <c r="D21" s="29"/>
      <c r="E21" s="29"/>
      <c r="F21" s="29"/>
      <c r="G21" s="29"/>
      <c r="H21" s="29"/>
      <c r="I21" s="30"/>
      <c r="J21" s="26">
        <f>ROUND(J16-J19,2)</f>
        <v>5721572.4800000004</v>
      </c>
      <c r="K21" s="19"/>
      <c r="L21" s="19"/>
      <c r="M21" s="27"/>
      <c r="N21" s="27"/>
      <c r="O21" s="27"/>
      <c r="P21" s="19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N22" s="27"/>
    </row>
    <row r="23" spans="1:26" x14ac:dyDescent="0.25">
      <c r="J23" s="19"/>
      <c r="N23" s="27"/>
    </row>
    <row r="24" spans="1:26" x14ac:dyDescent="0.25">
      <c r="N24" s="27"/>
    </row>
  </sheetData>
  <mergeCells count="10">
    <mergeCell ref="B18:I18"/>
    <mergeCell ref="B4:B5"/>
    <mergeCell ref="B19:I19"/>
    <mergeCell ref="G4:I4"/>
    <mergeCell ref="B2:J2"/>
    <mergeCell ref="C4:D4"/>
    <mergeCell ref="E4:F4"/>
    <mergeCell ref="J4:J5"/>
    <mergeCell ref="B17:I17"/>
    <mergeCell ref="B16:I16"/>
  </mergeCells>
  <pageMargins left="0.17" right="0.17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1125"/>
  <sheetViews>
    <sheetView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8" width="11.42578125" customWidth="1"/>
    <col min="9" max="11" width="11.85546875" customWidth="1"/>
    <col min="12" max="26" width="11.42578125" customWidth="1"/>
  </cols>
  <sheetData>
    <row r="1" spans="1:26" ht="23.25" customHeight="1" x14ac:dyDescent="0.25">
      <c r="A1" s="31" t="s">
        <v>0</v>
      </c>
      <c r="B1" s="32" t="s">
        <v>18</v>
      </c>
      <c r="C1" s="33" t="s">
        <v>2</v>
      </c>
      <c r="D1" s="34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A2" s="35" t="s">
        <v>20</v>
      </c>
      <c r="B2" s="35" t="s">
        <v>40</v>
      </c>
      <c r="C2" s="35">
        <v>768.84529999999995</v>
      </c>
      <c r="D2" s="36">
        <v>756.77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x14ac:dyDescent="0.25">
      <c r="A3" s="35" t="s">
        <v>20</v>
      </c>
      <c r="B3" s="35" t="s">
        <v>694</v>
      </c>
      <c r="C3" s="35">
        <v>131.322</v>
      </c>
      <c r="D3" s="36">
        <v>129.26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x14ac:dyDescent="0.25">
      <c r="A4" s="35" t="s">
        <v>20</v>
      </c>
      <c r="B4" s="35" t="s">
        <v>376</v>
      </c>
      <c r="C4" s="35">
        <v>170.94040000000001</v>
      </c>
      <c r="D4" s="36">
        <v>168.26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x14ac:dyDescent="0.25">
      <c r="A5" s="35" t="s">
        <v>20</v>
      </c>
      <c r="B5" s="35" t="s">
        <v>24</v>
      </c>
      <c r="C5" s="35">
        <v>428.20299999999997</v>
      </c>
      <c r="D5" s="36">
        <v>421.48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x14ac:dyDescent="0.25">
      <c r="A6" s="35" t="s">
        <v>20</v>
      </c>
      <c r="B6" s="35" t="s">
        <v>25</v>
      </c>
      <c r="C6" s="35">
        <v>45.032600000000002</v>
      </c>
      <c r="D6" s="36">
        <v>44.33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18" customFormat="1" x14ac:dyDescent="0.25">
      <c r="A7" s="35" t="s">
        <v>20</v>
      </c>
      <c r="B7" s="35" t="s">
        <v>364</v>
      </c>
      <c r="C7" s="35">
        <v>190.97040000000001</v>
      </c>
      <c r="D7" s="36">
        <v>187.97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18" customFormat="1" x14ac:dyDescent="0.25">
      <c r="A8" s="35" t="s">
        <v>20</v>
      </c>
      <c r="B8" s="35" t="s">
        <v>26</v>
      </c>
      <c r="C8" s="35">
        <v>9.7307000000000006</v>
      </c>
      <c r="D8" s="36">
        <v>9.58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318" customFormat="1" x14ac:dyDescent="0.25">
      <c r="A9" s="35" t="s">
        <v>20</v>
      </c>
      <c r="B9" s="35" t="s">
        <v>41</v>
      </c>
      <c r="C9" s="35">
        <v>107.2895</v>
      </c>
      <c r="D9" s="36">
        <v>105.61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318" customFormat="1" x14ac:dyDescent="0.25">
      <c r="A10" s="35" t="s">
        <v>20</v>
      </c>
      <c r="B10" s="35" t="s">
        <v>612</v>
      </c>
      <c r="C10" s="35">
        <v>306.1764</v>
      </c>
      <c r="D10" s="36">
        <v>301.37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318" customFormat="1" x14ac:dyDescent="0.25">
      <c r="A11" s="35" t="s">
        <v>20</v>
      </c>
      <c r="B11" s="35" t="s">
        <v>458</v>
      </c>
      <c r="C11" s="35">
        <v>291.21339999999998</v>
      </c>
      <c r="D11" s="36">
        <v>286.64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18" customFormat="1" x14ac:dyDescent="0.25">
      <c r="A12" s="35" t="s">
        <v>20</v>
      </c>
      <c r="B12" s="35" t="s">
        <v>42</v>
      </c>
      <c r="C12" s="35">
        <v>2642.1214</v>
      </c>
      <c r="D12" s="36">
        <v>2600.64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18" customFormat="1" x14ac:dyDescent="0.25">
      <c r="A13" s="35" t="s">
        <v>20</v>
      </c>
      <c r="B13" s="35" t="s">
        <v>600</v>
      </c>
      <c r="C13" s="35">
        <v>159.6097</v>
      </c>
      <c r="D13" s="36">
        <v>157.1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18" customFormat="1" x14ac:dyDescent="0.25">
      <c r="A14" s="35" t="s">
        <v>20</v>
      </c>
      <c r="B14" s="35" t="s">
        <v>43</v>
      </c>
      <c r="C14" s="35">
        <v>81.519000000000005</v>
      </c>
      <c r="D14" s="36">
        <v>80.239999999999995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18" customFormat="1" x14ac:dyDescent="0.25">
      <c r="A15" s="35" t="s">
        <v>20</v>
      </c>
      <c r="B15" s="35" t="s">
        <v>576</v>
      </c>
      <c r="C15" s="35">
        <v>124.4119</v>
      </c>
      <c r="D15" s="36">
        <v>122.46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18" customFormat="1" x14ac:dyDescent="0.25">
      <c r="A16" s="35" t="s">
        <v>20</v>
      </c>
      <c r="B16" s="35" t="s">
        <v>613</v>
      </c>
      <c r="C16" s="35">
        <v>1732.5365999999999</v>
      </c>
      <c r="D16" s="36">
        <v>1705.34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18" customFormat="1" x14ac:dyDescent="0.25">
      <c r="A17" s="35" t="s">
        <v>20</v>
      </c>
      <c r="B17" s="35" t="s">
        <v>575</v>
      </c>
      <c r="C17" s="35">
        <v>312.65010000000001</v>
      </c>
      <c r="D17" s="36">
        <v>307.74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45" customFormat="1" x14ac:dyDescent="0.25">
      <c r="A18" s="35" t="s">
        <v>20</v>
      </c>
      <c r="B18" s="35" t="s">
        <v>614</v>
      </c>
      <c r="C18" s="35">
        <v>107.5599</v>
      </c>
      <c r="D18" s="36">
        <v>105.87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45" customFormat="1" x14ac:dyDescent="0.25">
      <c r="A19" s="35" t="s">
        <v>20</v>
      </c>
      <c r="B19" s="35" t="s">
        <v>44</v>
      </c>
      <c r="C19" s="35">
        <v>972.19299999999998</v>
      </c>
      <c r="D19" s="36">
        <v>956.93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45" customFormat="1" x14ac:dyDescent="0.25">
      <c r="A20" s="35" t="s">
        <v>20</v>
      </c>
      <c r="B20" s="35" t="s">
        <v>459</v>
      </c>
      <c r="C20" s="35">
        <v>357.55549999999999</v>
      </c>
      <c r="D20" s="36">
        <v>351.94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45" customFormat="1" x14ac:dyDescent="0.25">
      <c r="A21" s="35" t="s">
        <v>20</v>
      </c>
      <c r="B21" s="35" t="s">
        <v>485</v>
      </c>
      <c r="C21" s="35">
        <v>1.8834</v>
      </c>
      <c r="D21" s="36">
        <v>1.85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345" customFormat="1" x14ac:dyDescent="0.25">
      <c r="A22" s="35" t="s">
        <v>20</v>
      </c>
      <c r="B22" s="35" t="s">
        <v>695</v>
      </c>
      <c r="C22" s="35">
        <v>213.9402</v>
      </c>
      <c r="D22" s="36">
        <v>210.58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345" customFormat="1" x14ac:dyDescent="0.25">
      <c r="A23" s="35" t="s">
        <v>20</v>
      </c>
      <c r="B23" s="35" t="s">
        <v>45</v>
      </c>
      <c r="C23" s="35">
        <v>9534.1209999999992</v>
      </c>
      <c r="D23" s="36">
        <v>9384.43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45" customFormat="1" x14ac:dyDescent="0.25">
      <c r="A24" s="35" t="s">
        <v>20</v>
      </c>
      <c r="B24" s="35" t="s">
        <v>46</v>
      </c>
      <c r="C24" s="35">
        <v>532.04250000000002</v>
      </c>
      <c r="D24" s="36">
        <v>523.69000000000005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45" customFormat="1" x14ac:dyDescent="0.25">
      <c r="A25" s="35" t="s">
        <v>20</v>
      </c>
      <c r="B25" s="35" t="s">
        <v>460</v>
      </c>
      <c r="C25" s="35">
        <v>342.63900000000001</v>
      </c>
      <c r="D25" s="36">
        <v>337.26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45" customFormat="1" x14ac:dyDescent="0.25">
      <c r="A26" s="35" t="s">
        <v>20</v>
      </c>
      <c r="B26" s="35" t="s">
        <v>410</v>
      </c>
      <c r="C26" s="35">
        <v>581.53369999999995</v>
      </c>
      <c r="D26" s="36">
        <v>572.4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345" customFormat="1" x14ac:dyDescent="0.25">
      <c r="A27" s="35" t="s">
        <v>20</v>
      </c>
      <c r="B27" s="35" t="s">
        <v>570</v>
      </c>
      <c r="C27" s="35">
        <v>134.30520000000001</v>
      </c>
      <c r="D27" s="36">
        <v>132.19999999999999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345" customFormat="1" x14ac:dyDescent="0.25">
      <c r="A28" s="35" t="s">
        <v>20</v>
      </c>
      <c r="B28" s="35" t="s">
        <v>571</v>
      </c>
      <c r="C28" s="35">
        <v>82.779200000000003</v>
      </c>
      <c r="D28" s="36">
        <v>81.48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18" customFormat="1" x14ac:dyDescent="0.25">
      <c r="A29" s="35" t="s">
        <v>20</v>
      </c>
      <c r="B29" s="35" t="s">
        <v>569</v>
      </c>
      <c r="C29" s="35">
        <v>107.188</v>
      </c>
      <c r="D29" s="36">
        <v>105.51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18" customFormat="1" x14ac:dyDescent="0.25">
      <c r="A30" s="35" t="s">
        <v>20</v>
      </c>
      <c r="B30" s="35" t="s">
        <v>615</v>
      </c>
      <c r="C30" s="35">
        <v>200.44380000000001</v>
      </c>
      <c r="D30" s="36">
        <v>197.3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18" customFormat="1" x14ac:dyDescent="0.25">
      <c r="A31" s="35" t="s">
        <v>20</v>
      </c>
      <c r="B31" s="35" t="s">
        <v>616</v>
      </c>
      <c r="C31" s="35">
        <v>53.4315</v>
      </c>
      <c r="D31" s="36">
        <v>52.59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318" customFormat="1" x14ac:dyDescent="0.25">
      <c r="A32" s="35" t="s">
        <v>20</v>
      </c>
      <c r="B32" s="35" t="s">
        <v>617</v>
      </c>
      <c r="C32" s="35">
        <v>112.75069999999999</v>
      </c>
      <c r="D32" s="36">
        <v>110.98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318" customFormat="1" x14ac:dyDescent="0.25">
      <c r="A33" s="35" t="s">
        <v>20</v>
      </c>
      <c r="B33" s="35" t="s">
        <v>47</v>
      </c>
      <c r="C33" s="35">
        <v>226.42850000000001</v>
      </c>
      <c r="D33" s="36">
        <v>222.87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318" customFormat="1" x14ac:dyDescent="0.25">
      <c r="A34" s="35" t="s">
        <v>20</v>
      </c>
      <c r="B34" s="35" t="s">
        <v>502</v>
      </c>
      <c r="C34" s="35">
        <v>41.935000000000002</v>
      </c>
      <c r="D34" s="36">
        <v>41.28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318" customFormat="1" x14ac:dyDescent="0.25">
      <c r="A35" s="35" t="s">
        <v>20</v>
      </c>
      <c r="B35" s="35" t="s">
        <v>48</v>
      </c>
      <c r="C35" s="35">
        <v>2393.2211000000002</v>
      </c>
      <c r="D35" s="36">
        <v>2355.65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318" customFormat="1" x14ac:dyDescent="0.25">
      <c r="A36" s="35" t="s">
        <v>20</v>
      </c>
      <c r="B36" s="35" t="s">
        <v>366</v>
      </c>
      <c r="C36" s="35">
        <v>693.29660000000001</v>
      </c>
      <c r="D36" s="36">
        <v>682.41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18" customFormat="1" x14ac:dyDescent="0.25">
      <c r="A37" s="35" t="s">
        <v>20</v>
      </c>
      <c r="B37" s="35" t="s">
        <v>49</v>
      </c>
      <c r="C37" s="35">
        <v>210.42089999999999</v>
      </c>
      <c r="D37" s="36">
        <v>207.12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317" customFormat="1" x14ac:dyDescent="0.25">
      <c r="A38" s="35" t="s">
        <v>20</v>
      </c>
      <c r="B38" s="35" t="s">
        <v>618</v>
      </c>
      <c r="C38" s="35">
        <v>80.960700000000003</v>
      </c>
      <c r="D38" s="36">
        <v>79.69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317" customFormat="1" x14ac:dyDescent="0.25">
      <c r="A39" s="35" t="s">
        <v>20</v>
      </c>
      <c r="B39" s="35" t="s">
        <v>619</v>
      </c>
      <c r="C39" s="35">
        <v>106.49469999999999</v>
      </c>
      <c r="D39" s="36">
        <v>104.82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317" customFormat="1" x14ac:dyDescent="0.25">
      <c r="A40" s="35" t="s">
        <v>20</v>
      </c>
      <c r="B40" s="35" t="s">
        <v>516</v>
      </c>
      <c r="C40" s="35">
        <v>205.81909999999999</v>
      </c>
      <c r="D40" s="36">
        <v>202.59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317" customFormat="1" x14ac:dyDescent="0.25">
      <c r="A41" s="35" t="s">
        <v>20</v>
      </c>
      <c r="B41" s="35" t="s">
        <v>50</v>
      </c>
      <c r="C41" s="35">
        <v>1813.66</v>
      </c>
      <c r="D41" s="36">
        <v>1785.19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317" customFormat="1" x14ac:dyDescent="0.25">
      <c r="A42" s="35" t="s">
        <v>20</v>
      </c>
      <c r="B42" s="35" t="s">
        <v>620</v>
      </c>
      <c r="C42" s="35">
        <v>416.77699999999999</v>
      </c>
      <c r="D42" s="36">
        <v>410.23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317" customFormat="1" x14ac:dyDescent="0.25">
      <c r="A43" s="35" t="s">
        <v>20</v>
      </c>
      <c r="B43" s="35" t="s">
        <v>430</v>
      </c>
      <c r="C43" s="35">
        <v>94.169300000000007</v>
      </c>
      <c r="D43" s="36">
        <v>92.69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317" customFormat="1" x14ac:dyDescent="0.25">
      <c r="A44" s="35" t="s">
        <v>20</v>
      </c>
      <c r="B44" s="35" t="s">
        <v>424</v>
      </c>
      <c r="C44" s="35">
        <v>282.49509999999998</v>
      </c>
      <c r="D44" s="36">
        <v>278.06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317" customFormat="1" x14ac:dyDescent="0.25">
      <c r="A45" s="35" t="s">
        <v>20</v>
      </c>
      <c r="B45" s="35" t="s">
        <v>450</v>
      </c>
      <c r="C45" s="35">
        <v>91.039699999999996</v>
      </c>
      <c r="D45" s="36">
        <v>89.61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317" customFormat="1" x14ac:dyDescent="0.25">
      <c r="A46" s="35" t="s">
        <v>20</v>
      </c>
      <c r="B46" s="35" t="s">
        <v>432</v>
      </c>
      <c r="C46" s="35">
        <v>118.2638</v>
      </c>
      <c r="D46" s="36">
        <v>116.41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317" customFormat="1" x14ac:dyDescent="0.25">
      <c r="A47" s="35" t="s">
        <v>20</v>
      </c>
      <c r="B47" s="35" t="s">
        <v>447</v>
      </c>
      <c r="C47" s="35">
        <v>159.9203</v>
      </c>
      <c r="D47" s="36">
        <v>157.41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317" customFormat="1" x14ac:dyDescent="0.25">
      <c r="A48" s="35" t="s">
        <v>20</v>
      </c>
      <c r="B48" s="35" t="s">
        <v>431</v>
      </c>
      <c r="C48" s="35">
        <v>83.2303</v>
      </c>
      <c r="D48" s="36">
        <v>81.92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317" customFormat="1" x14ac:dyDescent="0.25">
      <c r="A49" s="35" t="s">
        <v>20</v>
      </c>
      <c r="B49" s="35" t="s">
        <v>454</v>
      </c>
      <c r="C49" s="35">
        <v>273.86610000000002</v>
      </c>
      <c r="D49" s="36">
        <v>269.57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317" customFormat="1" x14ac:dyDescent="0.25">
      <c r="A50" s="35" t="s">
        <v>20</v>
      </c>
      <c r="B50" s="35" t="s">
        <v>425</v>
      </c>
      <c r="C50" s="35">
        <v>284.06380000000001</v>
      </c>
      <c r="D50" s="36">
        <v>279.60000000000002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317" customFormat="1" x14ac:dyDescent="0.25">
      <c r="A51" s="35" t="s">
        <v>20</v>
      </c>
      <c r="B51" s="35" t="s">
        <v>452</v>
      </c>
      <c r="C51" s="35">
        <v>266.9051</v>
      </c>
      <c r="D51" s="36">
        <v>262.70999999999998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289" customFormat="1" x14ac:dyDescent="0.25">
      <c r="A52" s="35" t="s">
        <v>20</v>
      </c>
      <c r="B52" s="35" t="s">
        <v>426</v>
      </c>
      <c r="C52" s="35">
        <v>375.30349999999999</v>
      </c>
      <c r="D52" s="36">
        <v>369.41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289" customFormat="1" x14ac:dyDescent="0.25">
      <c r="A53" s="35" t="s">
        <v>20</v>
      </c>
      <c r="B53" s="35" t="s">
        <v>448</v>
      </c>
      <c r="C53" s="35">
        <v>202.53530000000001</v>
      </c>
      <c r="D53" s="36">
        <v>199.36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289" customFormat="1" x14ac:dyDescent="0.25">
      <c r="A54" s="35" t="s">
        <v>20</v>
      </c>
      <c r="B54" s="35" t="s">
        <v>453</v>
      </c>
      <c r="C54" s="35">
        <v>180.3681</v>
      </c>
      <c r="D54" s="36">
        <v>177.54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289" customFormat="1" x14ac:dyDescent="0.25">
      <c r="A55" s="35" t="s">
        <v>20</v>
      </c>
      <c r="B55" s="35" t="s">
        <v>421</v>
      </c>
      <c r="C55" s="35">
        <v>196.69829999999999</v>
      </c>
      <c r="D55" s="36">
        <v>193.61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289" customFormat="1" x14ac:dyDescent="0.25">
      <c r="A56" s="35" t="s">
        <v>20</v>
      </c>
      <c r="B56" s="35" t="s">
        <v>383</v>
      </c>
      <c r="C56" s="35">
        <v>140.82300000000001</v>
      </c>
      <c r="D56" s="36">
        <v>138.61000000000001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289" customFormat="1" x14ac:dyDescent="0.25">
      <c r="A57" s="35" t="s">
        <v>20</v>
      </c>
      <c r="B57" s="35" t="s">
        <v>384</v>
      </c>
      <c r="C57" s="35">
        <v>90.718199999999996</v>
      </c>
      <c r="D57" s="36">
        <v>89.29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289" customFormat="1" x14ac:dyDescent="0.25">
      <c r="A58" s="35" t="s">
        <v>20</v>
      </c>
      <c r="B58" s="35" t="s">
        <v>385</v>
      </c>
      <c r="C58" s="35">
        <v>252.89709999999999</v>
      </c>
      <c r="D58" s="36">
        <v>248.93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289" customFormat="1" x14ac:dyDescent="0.25">
      <c r="A59" s="35" t="s">
        <v>20</v>
      </c>
      <c r="B59" s="35" t="s">
        <v>429</v>
      </c>
      <c r="C59" s="35">
        <v>177.9718</v>
      </c>
      <c r="D59" s="36">
        <v>175.18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289" customFormat="1" x14ac:dyDescent="0.25">
      <c r="A60" s="35" t="s">
        <v>20</v>
      </c>
      <c r="B60" s="35" t="s">
        <v>386</v>
      </c>
      <c r="C60" s="35">
        <v>140.9659</v>
      </c>
      <c r="D60" s="36">
        <v>138.75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289" customFormat="1" x14ac:dyDescent="0.25">
      <c r="A61" s="35" t="s">
        <v>20</v>
      </c>
      <c r="B61" s="35" t="s">
        <v>27</v>
      </c>
      <c r="C61" s="35">
        <v>246.9502</v>
      </c>
      <c r="D61" s="36">
        <v>243.07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289" customFormat="1" x14ac:dyDescent="0.25">
      <c r="A62" s="35" t="s">
        <v>20</v>
      </c>
      <c r="B62" s="35" t="s">
        <v>28</v>
      </c>
      <c r="C62" s="35">
        <v>335.25240000000002</v>
      </c>
      <c r="D62" s="36">
        <v>329.99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289" customFormat="1" x14ac:dyDescent="0.25">
      <c r="A63" s="35" t="s">
        <v>20</v>
      </c>
      <c r="B63" s="35" t="s">
        <v>408</v>
      </c>
      <c r="C63" s="35">
        <v>4.4413999999999998</v>
      </c>
      <c r="D63" s="36">
        <v>4.37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s="289" customFormat="1" x14ac:dyDescent="0.25">
      <c r="A64" s="35" t="s">
        <v>20</v>
      </c>
      <c r="B64" s="35" t="s">
        <v>479</v>
      </c>
      <c r="C64" s="35">
        <v>67.805899999999994</v>
      </c>
      <c r="D64" s="36">
        <v>66.739999999999995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x14ac:dyDescent="0.25">
      <c r="A65" s="35" t="s">
        <v>20</v>
      </c>
      <c r="B65" s="35" t="s">
        <v>586</v>
      </c>
      <c r="C65" s="35">
        <v>34.088000000000001</v>
      </c>
      <c r="D65" s="36">
        <v>33.549999999999997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x14ac:dyDescent="0.25">
      <c r="A66" s="35" t="s">
        <v>20</v>
      </c>
      <c r="B66" s="35" t="s">
        <v>514</v>
      </c>
      <c r="C66" s="35">
        <v>237.8742</v>
      </c>
      <c r="D66" s="36">
        <v>234.14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x14ac:dyDescent="0.25">
      <c r="A67" s="35" t="s">
        <v>20</v>
      </c>
      <c r="B67" s="35" t="s">
        <v>621</v>
      </c>
      <c r="C67" s="35">
        <v>69.337900000000005</v>
      </c>
      <c r="D67" s="36">
        <v>68.25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x14ac:dyDescent="0.25">
      <c r="A68" s="35" t="s">
        <v>20</v>
      </c>
      <c r="B68" s="35" t="s">
        <v>587</v>
      </c>
      <c r="C68" s="35">
        <v>72.584800000000001</v>
      </c>
      <c r="D68" s="36">
        <v>71.45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x14ac:dyDescent="0.25">
      <c r="A69" s="35" t="s">
        <v>20</v>
      </c>
      <c r="B69" s="35" t="s">
        <v>622</v>
      </c>
      <c r="C69" s="35">
        <v>53.783700000000003</v>
      </c>
      <c r="D69" s="36">
        <v>52.94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x14ac:dyDescent="0.25">
      <c r="A70" s="35" t="s">
        <v>20</v>
      </c>
      <c r="B70" s="35" t="s">
        <v>623</v>
      </c>
      <c r="C70" s="35">
        <v>98.997600000000006</v>
      </c>
      <c r="D70" s="36">
        <v>97.44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x14ac:dyDescent="0.25">
      <c r="A71" s="35" t="s">
        <v>20</v>
      </c>
      <c r="B71" s="35" t="s">
        <v>588</v>
      </c>
      <c r="C71" s="35">
        <v>77.248699999999999</v>
      </c>
      <c r="D71" s="36">
        <v>76.040000000000006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5">
      <c r="A72" s="35" t="s">
        <v>20</v>
      </c>
      <c r="B72" s="35" t="s">
        <v>624</v>
      </c>
      <c r="C72" s="35">
        <v>59.602899999999998</v>
      </c>
      <c r="D72" s="36">
        <v>58.67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s="274" customFormat="1" x14ac:dyDescent="0.25">
      <c r="A73" s="35" t="s">
        <v>20</v>
      </c>
      <c r="B73" s="35" t="s">
        <v>501</v>
      </c>
      <c r="C73" s="35">
        <v>165.44710000000001</v>
      </c>
      <c r="D73" s="36">
        <v>162.85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274" customFormat="1" x14ac:dyDescent="0.25">
      <c r="A74" s="35" t="s">
        <v>20</v>
      </c>
      <c r="B74" s="35" t="s">
        <v>625</v>
      </c>
      <c r="C74" s="35">
        <v>81.16</v>
      </c>
      <c r="D74" s="36">
        <v>79.89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s="274" customFormat="1" x14ac:dyDescent="0.25">
      <c r="A75" s="35" t="s">
        <v>20</v>
      </c>
      <c r="B75" s="35" t="s">
        <v>626</v>
      </c>
      <c r="C75" s="35">
        <v>107.2124</v>
      </c>
      <c r="D75" s="36">
        <v>105.53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s="274" customFormat="1" x14ac:dyDescent="0.25">
      <c r="A76" s="35" t="s">
        <v>20</v>
      </c>
      <c r="B76" s="35" t="s">
        <v>627</v>
      </c>
      <c r="C76" s="35">
        <v>68.280299999999997</v>
      </c>
      <c r="D76" s="36">
        <v>67.209999999999994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s="274" customFormat="1" x14ac:dyDescent="0.25">
      <c r="A77" s="35" t="s">
        <v>20</v>
      </c>
      <c r="B77" s="35" t="s">
        <v>628</v>
      </c>
      <c r="C77" s="35">
        <v>72.765799999999999</v>
      </c>
      <c r="D77" s="36">
        <v>71.62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s="274" customFormat="1" x14ac:dyDescent="0.25">
      <c r="A78" s="35" t="s">
        <v>20</v>
      </c>
      <c r="B78" s="35" t="s">
        <v>589</v>
      </c>
      <c r="C78" s="35">
        <v>30.5688</v>
      </c>
      <c r="D78" s="36">
        <v>30.09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s="274" customFormat="1" x14ac:dyDescent="0.25">
      <c r="A79" s="35" t="s">
        <v>20</v>
      </c>
      <c r="B79" s="35" t="s">
        <v>411</v>
      </c>
      <c r="C79" s="35">
        <v>24.965900000000001</v>
      </c>
      <c r="D79" s="36">
        <v>24.57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s="274" customFormat="1" x14ac:dyDescent="0.25">
      <c r="A80" s="35" t="s">
        <v>20</v>
      </c>
      <c r="B80" s="35" t="s">
        <v>590</v>
      </c>
      <c r="C80" s="35">
        <v>284.9008</v>
      </c>
      <c r="D80" s="36">
        <v>280.43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s="274" customFormat="1" x14ac:dyDescent="0.25">
      <c r="A81" s="35" t="s">
        <v>20</v>
      </c>
      <c r="B81" s="35" t="s">
        <v>377</v>
      </c>
      <c r="C81" s="35">
        <v>335.05549999999999</v>
      </c>
      <c r="D81" s="36">
        <v>329.8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s="274" customFormat="1" x14ac:dyDescent="0.25">
      <c r="A82" s="35" t="s">
        <v>20</v>
      </c>
      <c r="B82" s="35" t="s">
        <v>21</v>
      </c>
      <c r="C82" s="35">
        <v>79145.113599999997</v>
      </c>
      <c r="D82" s="36">
        <v>77902.52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s="274" customFormat="1" x14ac:dyDescent="0.25">
      <c r="A83" s="35" t="s">
        <v>20</v>
      </c>
      <c r="B83" s="35" t="s">
        <v>22</v>
      </c>
      <c r="C83" s="35">
        <v>386737.89279999997</v>
      </c>
      <c r="D83" s="36">
        <v>380666.02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s="274" customFormat="1" x14ac:dyDescent="0.25">
      <c r="A84" s="35" t="s">
        <v>20</v>
      </c>
      <c r="B84" s="35" t="s">
        <v>51</v>
      </c>
      <c r="C84" s="35">
        <v>631.90549999999996</v>
      </c>
      <c r="D84" s="36">
        <v>621.98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s="274" customFormat="1" x14ac:dyDescent="0.25">
      <c r="A85" s="35" t="s">
        <v>20</v>
      </c>
      <c r="B85" s="35" t="s">
        <v>446</v>
      </c>
      <c r="C85" s="35">
        <v>2.2029999999999998</v>
      </c>
      <c r="D85" s="36">
        <v>2.17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s="274" customFormat="1" x14ac:dyDescent="0.25">
      <c r="A86" s="35" t="s">
        <v>20</v>
      </c>
      <c r="B86" s="35" t="s">
        <v>629</v>
      </c>
      <c r="C86" s="35">
        <v>6.9599999999999995E-2</v>
      </c>
      <c r="D86" s="36">
        <v>7.0000000000000007E-2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s="274" customFormat="1" x14ac:dyDescent="0.25">
      <c r="A87" s="35" t="s">
        <v>20</v>
      </c>
      <c r="B87" s="35" t="s">
        <v>630</v>
      </c>
      <c r="C87" s="35">
        <v>80.578599999999994</v>
      </c>
      <c r="D87" s="36">
        <v>79.31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s="274" customFormat="1" x14ac:dyDescent="0.25">
      <c r="A88" s="35" t="s">
        <v>20</v>
      </c>
      <c r="B88" s="35" t="s">
        <v>23</v>
      </c>
      <c r="C88" s="35">
        <v>310695.96779999998</v>
      </c>
      <c r="D88" s="36">
        <v>305817.96999999997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s="274" customFormat="1" x14ac:dyDescent="0.25">
      <c r="A89" s="35" t="s">
        <v>20</v>
      </c>
      <c r="B89" s="35" t="s">
        <v>451</v>
      </c>
      <c r="C89" s="35">
        <v>62.710299999999997</v>
      </c>
      <c r="D89" s="36">
        <v>61.73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s="274" customFormat="1" x14ac:dyDescent="0.25">
      <c r="A90" s="35" t="s">
        <v>20</v>
      </c>
      <c r="B90" s="35" t="s">
        <v>631</v>
      </c>
      <c r="C90" s="35">
        <v>134.16919999999999</v>
      </c>
      <c r="D90" s="36">
        <v>132.06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s="274" customFormat="1" x14ac:dyDescent="0.25">
      <c r="A91" s="35" t="s">
        <v>20</v>
      </c>
      <c r="B91" s="35" t="s">
        <v>632</v>
      </c>
      <c r="C91" s="35">
        <v>71.685699999999997</v>
      </c>
      <c r="D91" s="36">
        <v>70.56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s="274" customFormat="1" x14ac:dyDescent="0.25">
      <c r="A92" s="35" t="s">
        <v>20</v>
      </c>
      <c r="B92" s="35" t="s">
        <v>633</v>
      </c>
      <c r="C92" s="35">
        <v>60.008800000000001</v>
      </c>
      <c r="D92" s="36">
        <v>59.07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s="274" customFormat="1" x14ac:dyDescent="0.25">
      <c r="A93" s="35" t="s">
        <v>20</v>
      </c>
      <c r="B93" s="35" t="s">
        <v>634</v>
      </c>
      <c r="C93" s="35">
        <v>84.459800000000001</v>
      </c>
      <c r="D93" s="36">
        <v>83.13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s="274" customFormat="1" x14ac:dyDescent="0.25">
      <c r="A94" s="35" t="s">
        <v>20</v>
      </c>
      <c r="B94" s="35" t="s">
        <v>635</v>
      </c>
      <c r="C94" s="35">
        <v>72.695599999999999</v>
      </c>
      <c r="D94" s="36">
        <v>71.55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s="274" customFormat="1" x14ac:dyDescent="0.25">
      <c r="A95" s="35" t="s">
        <v>20</v>
      </c>
      <c r="B95" s="35" t="s">
        <v>636</v>
      </c>
      <c r="C95" s="35">
        <v>24.835000000000001</v>
      </c>
      <c r="D95" s="36">
        <v>24.45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s="274" customFormat="1" x14ac:dyDescent="0.25">
      <c r="A96" s="35" t="s">
        <v>20</v>
      </c>
      <c r="B96" s="35" t="s">
        <v>637</v>
      </c>
      <c r="C96" s="35">
        <v>73.560900000000004</v>
      </c>
      <c r="D96" s="36">
        <v>72.41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s="274" customFormat="1" x14ac:dyDescent="0.25">
      <c r="A97" s="35" t="s">
        <v>20</v>
      </c>
      <c r="B97" s="35" t="s">
        <v>638</v>
      </c>
      <c r="C97" s="35">
        <v>73.497500000000002</v>
      </c>
      <c r="D97" s="36">
        <v>72.34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s="274" customFormat="1" x14ac:dyDescent="0.25">
      <c r="A98" s="35" t="s">
        <v>20</v>
      </c>
      <c r="B98" s="35" t="s">
        <v>639</v>
      </c>
      <c r="C98" s="35">
        <v>100.3276</v>
      </c>
      <c r="D98" s="36">
        <v>98.75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s="274" customFormat="1" x14ac:dyDescent="0.25">
      <c r="A99" s="35" t="s">
        <v>20</v>
      </c>
      <c r="B99" s="35" t="s">
        <v>640</v>
      </c>
      <c r="C99" s="35">
        <v>180.80019999999999</v>
      </c>
      <c r="D99" s="36">
        <v>177.96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s="274" customFormat="1" x14ac:dyDescent="0.25">
      <c r="A100" s="35" t="s">
        <v>20</v>
      </c>
      <c r="B100" s="35" t="s">
        <v>641</v>
      </c>
      <c r="C100" s="35">
        <v>100.8411</v>
      </c>
      <c r="D100" s="36">
        <v>99.26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s="274" customFormat="1" x14ac:dyDescent="0.25">
      <c r="A101" s="35" t="s">
        <v>20</v>
      </c>
      <c r="B101" s="35" t="s">
        <v>642</v>
      </c>
      <c r="C101" s="35">
        <v>156.52600000000001</v>
      </c>
      <c r="D101" s="36">
        <v>154.07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s="274" customFormat="1" x14ac:dyDescent="0.25">
      <c r="A102" s="35" t="s">
        <v>20</v>
      </c>
      <c r="B102" s="35" t="s">
        <v>643</v>
      </c>
      <c r="C102" s="35">
        <v>47.554400000000001</v>
      </c>
      <c r="D102" s="36">
        <v>46.81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s="274" customFormat="1" x14ac:dyDescent="0.25">
      <c r="A103" s="35" t="s">
        <v>20</v>
      </c>
      <c r="B103" s="35" t="s">
        <v>644</v>
      </c>
      <c r="C103" s="35">
        <v>91.950999999999993</v>
      </c>
      <c r="D103" s="36">
        <v>90.51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s="274" customFormat="1" x14ac:dyDescent="0.25">
      <c r="A104" s="35" t="s">
        <v>20</v>
      </c>
      <c r="B104" s="35" t="s">
        <v>645</v>
      </c>
      <c r="C104" s="35">
        <v>52.0503</v>
      </c>
      <c r="D104" s="36">
        <v>51.23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s="274" customFormat="1" x14ac:dyDescent="0.25">
      <c r="A105" s="35" t="s">
        <v>20</v>
      </c>
      <c r="B105" s="35" t="s">
        <v>646</v>
      </c>
      <c r="C105" s="35">
        <v>186.63759999999999</v>
      </c>
      <c r="D105" s="36">
        <v>183.71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s="274" customFormat="1" x14ac:dyDescent="0.25">
      <c r="A106" s="35" t="s">
        <v>20</v>
      </c>
      <c r="B106" s="35" t="s">
        <v>647</v>
      </c>
      <c r="C106" s="35">
        <v>78.614000000000004</v>
      </c>
      <c r="D106" s="36">
        <v>77.38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s="274" customFormat="1" x14ac:dyDescent="0.25">
      <c r="A107" s="35" t="s">
        <v>20</v>
      </c>
      <c r="B107" s="35" t="s">
        <v>648</v>
      </c>
      <c r="C107" s="35">
        <v>82.391000000000005</v>
      </c>
      <c r="D107" s="36">
        <v>81.099999999999994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s="274" customFormat="1" x14ac:dyDescent="0.25">
      <c r="A108" s="35" t="s">
        <v>20</v>
      </c>
      <c r="B108" s="35" t="s">
        <v>649</v>
      </c>
      <c r="C108" s="35">
        <v>74.153599999999997</v>
      </c>
      <c r="D108" s="36">
        <v>72.989999999999995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s="274" customFormat="1" x14ac:dyDescent="0.25">
      <c r="A109" s="35" t="s">
        <v>20</v>
      </c>
      <c r="B109" s="35" t="s">
        <v>650</v>
      </c>
      <c r="C109" s="35">
        <v>28.849399999999999</v>
      </c>
      <c r="D109" s="36">
        <v>28.4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x14ac:dyDescent="0.25">
      <c r="A110" s="35" t="s">
        <v>20</v>
      </c>
      <c r="B110" s="35" t="s">
        <v>651</v>
      </c>
      <c r="C110" s="35">
        <v>49.369100000000003</v>
      </c>
      <c r="D110" s="36">
        <v>48.59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x14ac:dyDescent="0.25">
      <c r="A111" s="35" t="s">
        <v>20</v>
      </c>
      <c r="B111" s="35" t="s">
        <v>652</v>
      </c>
      <c r="C111" s="35">
        <v>97.979699999999994</v>
      </c>
      <c r="D111" s="36">
        <v>96.44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x14ac:dyDescent="0.25">
      <c r="A112" s="35" t="s">
        <v>20</v>
      </c>
      <c r="B112" s="35" t="s">
        <v>653</v>
      </c>
      <c r="C112" s="35">
        <v>77.040000000000006</v>
      </c>
      <c r="D112" s="36">
        <v>75.83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x14ac:dyDescent="0.25">
      <c r="A113" s="35" t="s">
        <v>20</v>
      </c>
      <c r="B113" s="35" t="s">
        <v>654</v>
      </c>
      <c r="C113" s="35">
        <v>77.545100000000005</v>
      </c>
      <c r="D113" s="36">
        <v>76.33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x14ac:dyDescent="0.25">
      <c r="A114" s="35" t="s">
        <v>20</v>
      </c>
      <c r="B114" s="35" t="s">
        <v>52</v>
      </c>
      <c r="C114" s="35">
        <v>117.1524</v>
      </c>
      <c r="D114" s="36">
        <v>115.31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x14ac:dyDescent="0.25">
      <c r="A115" s="35" t="s">
        <v>20</v>
      </c>
      <c r="B115" s="35" t="s">
        <v>419</v>
      </c>
      <c r="C115" s="35">
        <v>281.90309999999999</v>
      </c>
      <c r="D115" s="36">
        <v>277.48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x14ac:dyDescent="0.25">
      <c r="A116" s="35" t="s">
        <v>20</v>
      </c>
      <c r="B116" s="35" t="s">
        <v>420</v>
      </c>
      <c r="C116" s="35">
        <v>289.18970000000002</v>
      </c>
      <c r="D116" s="36">
        <v>284.64999999999998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x14ac:dyDescent="0.25">
      <c r="A117" s="35" t="s">
        <v>20</v>
      </c>
      <c r="B117" s="35" t="s">
        <v>591</v>
      </c>
      <c r="C117" s="35">
        <v>57.833100000000002</v>
      </c>
      <c r="D117" s="36">
        <v>56.93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x14ac:dyDescent="0.25">
      <c r="A118" s="35" t="s">
        <v>20</v>
      </c>
      <c r="B118" s="35" t="s">
        <v>592</v>
      </c>
      <c r="C118" s="35">
        <v>225.4349</v>
      </c>
      <c r="D118" s="36">
        <v>221.9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x14ac:dyDescent="0.25">
      <c r="A119" s="35" t="s">
        <v>20</v>
      </c>
      <c r="B119" s="35" t="s">
        <v>655</v>
      </c>
      <c r="C119" s="35">
        <v>128.78219999999999</v>
      </c>
      <c r="D119" s="36">
        <v>126.76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x14ac:dyDescent="0.25">
      <c r="A120" s="35" t="s">
        <v>20</v>
      </c>
      <c r="B120" s="35" t="s">
        <v>656</v>
      </c>
      <c r="C120" s="35">
        <v>208.05950000000001</v>
      </c>
      <c r="D120" s="36">
        <v>204.79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x14ac:dyDescent="0.25">
      <c r="A121" s="35" t="s">
        <v>20</v>
      </c>
      <c r="B121" s="35" t="s">
        <v>696</v>
      </c>
      <c r="C121" s="35">
        <v>19.7059</v>
      </c>
      <c r="D121" s="36">
        <v>19.399999999999999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x14ac:dyDescent="0.25">
      <c r="A122" s="35" t="s">
        <v>20</v>
      </c>
      <c r="B122" s="35" t="s">
        <v>603</v>
      </c>
      <c r="C122" s="35">
        <v>175.61</v>
      </c>
      <c r="D122" s="36">
        <v>172.85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x14ac:dyDescent="0.25">
      <c r="A123" s="35" t="s">
        <v>20</v>
      </c>
      <c r="B123" s="35" t="s">
        <v>359</v>
      </c>
      <c r="C123" s="35">
        <v>148.6704</v>
      </c>
      <c r="D123" s="36">
        <v>146.34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x14ac:dyDescent="0.25">
      <c r="A124" s="35" t="s">
        <v>20</v>
      </c>
      <c r="B124" s="35" t="s">
        <v>354</v>
      </c>
      <c r="C124" s="35">
        <v>122.5282</v>
      </c>
      <c r="D124" s="36">
        <v>120.6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x14ac:dyDescent="0.25">
      <c r="A125" s="35" t="s">
        <v>20</v>
      </c>
      <c r="B125" s="35" t="s">
        <v>356</v>
      </c>
      <c r="C125" s="35">
        <v>90.149600000000007</v>
      </c>
      <c r="D125" s="36">
        <v>88.73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x14ac:dyDescent="0.25">
      <c r="A126" s="35" t="s">
        <v>20</v>
      </c>
      <c r="B126" s="35" t="s">
        <v>361</v>
      </c>
      <c r="C126" s="35">
        <v>162.1438</v>
      </c>
      <c r="D126" s="36">
        <v>159.6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x14ac:dyDescent="0.25">
      <c r="A127" s="35" t="s">
        <v>20</v>
      </c>
      <c r="B127" s="35" t="s">
        <v>355</v>
      </c>
      <c r="C127" s="35">
        <v>109.9171</v>
      </c>
      <c r="D127" s="36">
        <v>108.19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x14ac:dyDescent="0.25">
      <c r="A128" s="35" t="s">
        <v>20</v>
      </c>
      <c r="B128" s="35" t="s">
        <v>491</v>
      </c>
      <c r="C128" s="35">
        <v>58.701599999999999</v>
      </c>
      <c r="D128" s="36">
        <v>57.78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x14ac:dyDescent="0.25">
      <c r="A129" s="35" t="s">
        <v>20</v>
      </c>
      <c r="B129" s="35" t="s">
        <v>357</v>
      </c>
      <c r="C129" s="35">
        <v>119.3685</v>
      </c>
      <c r="D129" s="36">
        <v>117.49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x14ac:dyDescent="0.25">
      <c r="A130" s="35" t="s">
        <v>20</v>
      </c>
      <c r="B130" s="35" t="s">
        <v>358</v>
      </c>
      <c r="C130" s="35">
        <v>126.87</v>
      </c>
      <c r="D130" s="36">
        <v>124.88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x14ac:dyDescent="0.25">
      <c r="A131" s="35" t="s">
        <v>20</v>
      </c>
      <c r="B131" s="35" t="s">
        <v>657</v>
      </c>
      <c r="C131" s="35">
        <v>72.849100000000007</v>
      </c>
      <c r="D131" s="36">
        <v>71.709999999999994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x14ac:dyDescent="0.25">
      <c r="A132" s="35" t="s">
        <v>20</v>
      </c>
      <c r="B132" s="35" t="s">
        <v>573</v>
      </c>
      <c r="C132" s="35">
        <v>220.73330000000001</v>
      </c>
      <c r="D132" s="36">
        <v>217.27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x14ac:dyDescent="0.25">
      <c r="A133" s="35" t="s">
        <v>20</v>
      </c>
      <c r="B133" s="35" t="s">
        <v>29</v>
      </c>
      <c r="C133" s="35">
        <v>2.0299999999999999E-2</v>
      </c>
      <c r="D133" s="36">
        <v>0.02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x14ac:dyDescent="0.25">
      <c r="A134" s="35" t="s">
        <v>20</v>
      </c>
      <c r="B134" s="35" t="s">
        <v>30</v>
      </c>
      <c r="C134" s="35">
        <v>5.5172999999999996</v>
      </c>
      <c r="D134" s="36">
        <v>5.43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x14ac:dyDescent="0.25">
      <c r="A135" s="35" t="s">
        <v>20</v>
      </c>
      <c r="B135" s="35" t="s">
        <v>457</v>
      </c>
      <c r="C135" s="35">
        <v>213.53049999999999</v>
      </c>
      <c r="D135" s="36">
        <v>210.18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x14ac:dyDescent="0.25">
      <c r="A136" s="35" t="s">
        <v>20</v>
      </c>
      <c r="B136" s="35" t="s">
        <v>53</v>
      </c>
      <c r="C136" s="35">
        <v>578.92880000000002</v>
      </c>
      <c r="D136" s="36">
        <v>569.84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x14ac:dyDescent="0.25">
      <c r="A137" s="35" t="s">
        <v>20</v>
      </c>
      <c r="B137" s="35" t="s">
        <v>54</v>
      </c>
      <c r="C137" s="35">
        <v>486.45929999999998</v>
      </c>
      <c r="D137" s="36">
        <v>478.82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x14ac:dyDescent="0.25">
      <c r="A138" s="35" t="s">
        <v>20</v>
      </c>
      <c r="B138" s="35" t="s">
        <v>503</v>
      </c>
      <c r="C138" s="35">
        <v>154.2799</v>
      </c>
      <c r="D138" s="36">
        <v>151.86000000000001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x14ac:dyDescent="0.25">
      <c r="A139" s="35" t="s">
        <v>20</v>
      </c>
      <c r="B139" s="35" t="s">
        <v>584</v>
      </c>
      <c r="C139" s="35">
        <v>1.54E-2</v>
      </c>
      <c r="D139" s="36">
        <v>0.02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x14ac:dyDescent="0.25">
      <c r="A140" s="35" t="s">
        <v>20</v>
      </c>
      <c r="B140" s="35" t="s">
        <v>521</v>
      </c>
      <c r="C140" s="35">
        <v>274.31549999999999</v>
      </c>
      <c r="D140" s="36">
        <v>270.01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x14ac:dyDescent="0.25">
      <c r="A141" s="35" t="s">
        <v>20</v>
      </c>
      <c r="B141" s="35" t="s">
        <v>486</v>
      </c>
      <c r="C141" s="35">
        <v>6.1143999999999998</v>
      </c>
      <c r="D141" s="36">
        <v>6.02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x14ac:dyDescent="0.25">
      <c r="A142" s="35" t="s">
        <v>20</v>
      </c>
      <c r="B142" s="35" t="s">
        <v>596</v>
      </c>
      <c r="C142" s="35">
        <v>249.1925</v>
      </c>
      <c r="D142" s="36">
        <v>245.28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x14ac:dyDescent="0.25">
      <c r="A143" s="35" t="s">
        <v>20</v>
      </c>
      <c r="B143" s="35" t="s">
        <v>658</v>
      </c>
      <c r="C143" s="35">
        <v>168.7295</v>
      </c>
      <c r="D143" s="36">
        <v>166.08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x14ac:dyDescent="0.25">
      <c r="A144" s="35" t="s">
        <v>20</v>
      </c>
      <c r="B144" s="35" t="s">
        <v>659</v>
      </c>
      <c r="C144" s="35">
        <v>248.5967</v>
      </c>
      <c r="D144" s="36">
        <v>244.69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x14ac:dyDescent="0.25">
      <c r="A145" s="35" t="s">
        <v>20</v>
      </c>
      <c r="B145" s="35" t="s">
        <v>697</v>
      </c>
      <c r="C145" s="35">
        <v>155.6447</v>
      </c>
      <c r="D145" s="36">
        <v>153.19999999999999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x14ac:dyDescent="0.25">
      <c r="A146" s="35" t="s">
        <v>20</v>
      </c>
      <c r="B146" s="35" t="s">
        <v>660</v>
      </c>
      <c r="C146" s="35">
        <v>107.2436</v>
      </c>
      <c r="D146" s="36">
        <v>105.56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x14ac:dyDescent="0.25">
      <c r="A147" s="35" t="s">
        <v>20</v>
      </c>
      <c r="B147" s="35" t="s">
        <v>518</v>
      </c>
      <c r="C147" s="35">
        <v>134.4751</v>
      </c>
      <c r="D147" s="36">
        <v>132.36000000000001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x14ac:dyDescent="0.25">
      <c r="A148" s="35" t="s">
        <v>20</v>
      </c>
      <c r="B148" s="35" t="s">
        <v>661</v>
      </c>
      <c r="C148" s="35">
        <v>175.58019999999999</v>
      </c>
      <c r="D148" s="36">
        <v>172.82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x14ac:dyDescent="0.25">
      <c r="A149" s="35" t="s">
        <v>20</v>
      </c>
      <c r="B149" s="35" t="s">
        <v>593</v>
      </c>
      <c r="C149" s="35">
        <v>423.47109999999998</v>
      </c>
      <c r="D149" s="36">
        <v>416.82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x14ac:dyDescent="0.25">
      <c r="A150" s="35" t="s">
        <v>20</v>
      </c>
      <c r="B150" s="35" t="s">
        <v>517</v>
      </c>
      <c r="C150" s="35">
        <v>507.2869</v>
      </c>
      <c r="D150" s="36">
        <v>499.32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x14ac:dyDescent="0.25">
      <c r="A151" s="35" t="s">
        <v>20</v>
      </c>
      <c r="B151" s="35" t="s">
        <v>55</v>
      </c>
      <c r="C151" s="35">
        <v>636.26769999999999</v>
      </c>
      <c r="D151" s="36">
        <v>626.28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x14ac:dyDescent="0.25">
      <c r="A152" s="35" t="s">
        <v>20</v>
      </c>
      <c r="B152" s="35" t="s">
        <v>594</v>
      </c>
      <c r="C152" s="35">
        <v>786.09090000000003</v>
      </c>
      <c r="D152" s="36">
        <v>773.75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x14ac:dyDescent="0.25">
      <c r="A153" s="35" t="s">
        <v>20</v>
      </c>
      <c r="B153" s="35" t="s">
        <v>504</v>
      </c>
      <c r="C153" s="35">
        <v>215.3921</v>
      </c>
      <c r="D153" s="36">
        <v>212.01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x14ac:dyDescent="0.25">
      <c r="A154" s="35" t="s">
        <v>20</v>
      </c>
      <c r="B154" s="35" t="s">
        <v>662</v>
      </c>
      <c r="C154" s="35">
        <v>123.18519999999999</v>
      </c>
      <c r="D154" s="36">
        <v>121.25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x14ac:dyDescent="0.25">
      <c r="A155" s="35" t="s">
        <v>20</v>
      </c>
      <c r="B155" s="35" t="s">
        <v>595</v>
      </c>
      <c r="C155" s="35">
        <v>251.71789999999999</v>
      </c>
      <c r="D155" s="36">
        <v>247.77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x14ac:dyDescent="0.25">
      <c r="A156" s="35" t="s">
        <v>20</v>
      </c>
      <c r="B156" s="35" t="s">
        <v>456</v>
      </c>
      <c r="C156" s="35">
        <v>6.3193999999999999</v>
      </c>
      <c r="D156" s="36">
        <v>6.22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x14ac:dyDescent="0.25">
      <c r="A157" s="35" t="s">
        <v>20</v>
      </c>
      <c r="B157" s="35" t="s">
        <v>663</v>
      </c>
      <c r="C157" s="35">
        <v>256.46179999999998</v>
      </c>
      <c r="D157" s="36">
        <v>252.44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x14ac:dyDescent="0.25">
      <c r="A158" s="35" t="s">
        <v>20</v>
      </c>
      <c r="B158" s="35" t="s">
        <v>496</v>
      </c>
      <c r="C158" s="35">
        <v>383.32490000000001</v>
      </c>
      <c r="D158" s="36">
        <v>377.31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x14ac:dyDescent="0.25">
      <c r="A159" s="35" t="s">
        <v>20</v>
      </c>
      <c r="B159" s="35" t="s">
        <v>597</v>
      </c>
      <c r="C159" s="35">
        <v>243.51249999999999</v>
      </c>
      <c r="D159" s="36">
        <v>239.69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x14ac:dyDescent="0.25">
      <c r="A160" s="35" t="s">
        <v>20</v>
      </c>
      <c r="B160" s="35" t="s">
        <v>578</v>
      </c>
      <c r="C160" s="35">
        <v>114.0278</v>
      </c>
      <c r="D160" s="36">
        <v>112.24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s="210" customFormat="1" x14ac:dyDescent="0.25">
      <c r="A161" s="35" t="s">
        <v>20</v>
      </c>
      <c r="B161" s="35" t="s">
        <v>579</v>
      </c>
      <c r="C161" s="35">
        <v>100.5977</v>
      </c>
      <c r="D161" s="36">
        <v>99.02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s="210" customFormat="1" x14ac:dyDescent="0.25">
      <c r="A162" s="35" t="s">
        <v>20</v>
      </c>
      <c r="B162" s="35" t="s">
        <v>577</v>
      </c>
      <c r="C162" s="35">
        <v>114.119</v>
      </c>
      <c r="D162" s="36">
        <v>112.33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s="210" customFormat="1" x14ac:dyDescent="0.25">
      <c r="A163" s="35" t="s">
        <v>20</v>
      </c>
      <c r="B163" s="35" t="s">
        <v>572</v>
      </c>
      <c r="C163" s="35">
        <v>59.673900000000003</v>
      </c>
      <c r="D163" s="36">
        <v>58.74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s="210" customFormat="1" x14ac:dyDescent="0.25">
      <c r="A164" s="35" t="s">
        <v>20</v>
      </c>
      <c r="B164" s="35" t="s">
        <v>566</v>
      </c>
      <c r="C164" s="35">
        <v>108.33880000000001</v>
      </c>
      <c r="D164" s="36">
        <v>106.64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s="210" customFormat="1" x14ac:dyDescent="0.25">
      <c r="A165" s="35" t="s">
        <v>20</v>
      </c>
      <c r="B165" s="35" t="s">
        <v>698</v>
      </c>
      <c r="C165" s="35">
        <v>41.254199999999997</v>
      </c>
      <c r="D165" s="36">
        <v>40.61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s="210" customFormat="1" x14ac:dyDescent="0.25">
      <c r="A166" s="35" t="s">
        <v>20</v>
      </c>
      <c r="B166" s="35" t="s">
        <v>56</v>
      </c>
      <c r="C166" s="35">
        <v>998.11760000000004</v>
      </c>
      <c r="D166" s="36">
        <v>982.45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s="210" customFormat="1" x14ac:dyDescent="0.25">
      <c r="A167" s="35" t="s">
        <v>20</v>
      </c>
      <c r="B167" s="35" t="s">
        <v>604</v>
      </c>
      <c r="C167" s="35">
        <v>648.74680000000001</v>
      </c>
      <c r="D167" s="36">
        <v>638.55999999999995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s="210" customFormat="1" x14ac:dyDescent="0.25">
      <c r="A168" s="35" t="s">
        <v>20</v>
      </c>
      <c r="B168" s="35" t="s">
        <v>31</v>
      </c>
      <c r="C168" s="35">
        <v>278.60930000000002</v>
      </c>
      <c r="D168" s="36">
        <v>274.24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s="210" customFormat="1" x14ac:dyDescent="0.25">
      <c r="A169" s="35" t="s">
        <v>20</v>
      </c>
      <c r="B169" s="35" t="s">
        <v>412</v>
      </c>
      <c r="C169" s="35">
        <v>696.10860000000002</v>
      </c>
      <c r="D169" s="36">
        <v>685.18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s="210" customFormat="1" x14ac:dyDescent="0.25">
      <c r="A170" s="35" t="s">
        <v>20</v>
      </c>
      <c r="B170" s="35" t="s">
        <v>365</v>
      </c>
      <c r="C170" s="35">
        <v>274.89190000000002</v>
      </c>
      <c r="D170" s="36">
        <v>270.58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s="210" customFormat="1" x14ac:dyDescent="0.25">
      <c r="A171" s="35" t="s">
        <v>20</v>
      </c>
      <c r="B171" s="35" t="s">
        <v>664</v>
      </c>
      <c r="C171" s="35">
        <v>251.666</v>
      </c>
      <c r="D171" s="36">
        <v>247.71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s="210" customFormat="1" x14ac:dyDescent="0.25">
      <c r="A172" s="35" t="s">
        <v>20</v>
      </c>
      <c r="B172" s="35" t="s">
        <v>520</v>
      </c>
      <c r="C172" s="35">
        <v>190.2704</v>
      </c>
      <c r="D172" s="36">
        <v>187.28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s="210" customFormat="1" x14ac:dyDescent="0.25">
      <c r="A173" s="35" t="s">
        <v>20</v>
      </c>
      <c r="B173" s="35" t="s">
        <v>32</v>
      </c>
      <c r="C173" s="35">
        <v>10.5456</v>
      </c>
      <c r="D173" s="36">
        <v>10.38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s="210" customFormat="1" x14ac:dyDescent="0.25">
      <c r="A174" s="35" t="s">
        <v>20</v>
      </c>
      <c r="B174" s="35" t="s">
        <v>33</v>
      </c>
      <c r="C174" s="35">
        <v>10.155900000000001</v>
      </c>
      <c r="D174" s="36">
        <v>10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s="210" customFormat="1" x14ac:dyDescent="0.25">
      <c r="A175" s="35" t="s">
        <v>20</v>
      </c>
      <c r="B175" s="35" t="s">
        <v>34</v>
      </c>
      <c r="C175" s="35">
        <v>9.3039000000000005</v>
      </c>
      <c r="D175" s="36">
        <v>9.16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s="210" customFormat="1" x14ac:dyDescent="0.25">
      <c r="A176" s="35" t="s">
        <v>20</v>
      </c>
      <c r="B176" s="35" t="s">
        <v>665</v>
      </c>
      <c r="C176" s="35">
        <v>325.61410000000001</v>
      </c>
      <c r="D176" s="36">
        <v>320.5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s="210" customFormat="1" x14ac:dyDescent="0.25">
      <c r="A177" s="35" t="s">
        <v>20</v>
      </c>
      <c r="B177" s="35" t="s">
        <v>409</v>
      </c>
      <c r="C177" s="35">
        <v>762.77319999999997</v>
      </c>
      <c r="D177" s="36">
        <v>750.8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s="210" customFormat="1" x14ac:dyDescent="0.25">
      <c r="A178" s="35" t="s">
        <v>20</v>
      </c>
      <c r="B178" s="35" t="s">
        <v>598</v>
      </c>
      <c r="C178" s="35">
        <v>260.31709999999998</v>
      </c>
      <c r="D178" s="36">
        <v>256.23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s="210" customFormat="1" x14ac:dyDescent="0.25">
      <c r="A179" s="35" t="s">
        <v>20</v>
      </c>
      <c r="B179" s="35" t="s">
        <v>62</v>
      </c>
      <c r="C179" s="35">
        <v>4705.518</v>
      </c>
      <c r="D179" s="36">
        <v>4631.6400000000003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x14ac:dyDescent="0.25">
      <c r="A180" s="35" t="s">
        <v>20</v>
      </c>
      <c r="B180" s="35" t="s">
        <v>666</v>
      </c>
      <c r="C180" s="35">
        <v>270.38659999999999</v>
      </c>
      <c r="D180" s="36">
        <v>266.14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x14ac:dyDescent="0.25">
      <c r="A181" s="35" t="s">
        <v>20</v>
      </c>
      <c r="B181" s="35" t="s">
        <v>490</v>
      </c>
      <c r="C181" s="35">
        <v>148.36279999999999</v>
      </c>
      <c r="D181" s="36">
        <v>146.03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x14ac:dyDescent="0.25">
      <c r="A182" s="35" t="s">
        <v>20</v>
      </c>
      <c r="B182" s="35" t="s">
        <v>487</v>
      </c>
      <c r="C182" s="35">
        <v>351.67129999999997</v>
      </c>
      <c r="D182" s="36">
        <v>346.15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x14ac:dyDescent="0.25">
      <c r="A183" s="35" t="s">
        <v>20</v>
      </c>
      <c r="B183" s="35" t="s">
        <v>699</v>
      </c>
      <c r="C183" s="35">
        <v>137.65620000000001</v>
      </c>
      <c r="D183" s="36">
        <v>135.49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x14ac:dyDescent="0.25">
      <c r="A184" s="35" t="s">
        <v>20</v>
      </c>
      <c r="B184" s="35" t="s">
        <v>700</v>
      </c>
      <c r="C184" s="35">
        <v>41.184699999999999</v>
      </c>
      <c r="D184" s="36">
        <v>40.54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x14ac:dyDescent="0.25">
      <c r="A185" s="35" t="s">
        <v>20</v>
      </c>
      <c r="B185" s="35" t="s">
        <v>667</v>
      </c>
      <c r="C185" s="35">
        <v>159.0273</v>
      </c>
      <c r="D185" s="36">
        <v>156.53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x14ac:dyDescent="0.25">
      <c r="A186" s="35" t="s">
        <v>20</v>
      </c>
      <c r="B186" s="35" t="s">
        <v>701</v>
      </c>
      <c r="C186" s="35">
        <v>23.491599999999998</v>
      </c>
      <c r="D186" s="36">
        <v>23.12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x14ac:dyDescent="0.25">
      <c r="A187" s="35" t="s">
        <v>20</v>
      </c>
      <c r="B187" s="35" t="s">
        <v>702</v>
      </c>
      <c r="C187" s="35">
        <v>141.63720000000001</v>
      </c>
      <c r="D187" s="36">
        <v>139.41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x14ac:dyDescent="0.25">
      <c r="A188" s="35" t="s">
        <v>20</v>
      </c>
      <c r="B188" s="35" t="s">
        <v>488</v>
      </c>
      <c r="C188" s="35">
        <v>351.83420000000001</v>
      </c>
      <c r="D188" s="36">
        <v>346.31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x14ac:dyDescent="0.25">
      <c r="A189" s="35" t="s">
        <v>20</v>
      </c>
      <c r="B189" s="35" t="s">
        <v>489</v>
      </c>
      <c r="C189" s="35">
        <v>131.95150000000001</v>
      </c>
      <c r="D189" s="36">
        <v>129.88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x14ac:dyDescent="0.25">
      <c r="A190" s="35" t="s">
        <v>20</v>
      </c>
      <c r="B190" s="35" t="s">
        <v>57</v>
      </c>
      <c r="C190" s="35">
        <v>314.71260000000001</v>
      </c>
      <c r="D190" s="36">
        <v>309.77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x14ac:dyDescent="0.25">
      <c r="A191" s="35" t="s">
        <v>20</v>
      </c>
      <c r="B191" s="35" t="s">
        <v>418</v>
      </c>
      <c r="C191" s="35">
        <v>495.18900000000002</v>
      </c>
      <c r="D191" s="36">
        <v>487.41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x14ac:dyDescent="0.25">
      <c r="A192" s="35" t="s">
        <v>20</v>
      </c>
      <c r="B192" s="35" t="s">
        <v>58</v>
      </c>
      <c r="C192" s="35">
        <v>623.86479999999995</v>
      </c>
      <c r="D192" s="36">
        <v>614.07000000000005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x14ac:dyDescent="0.25">
      <c r="A193" s="35" t="s">
        <v>20</v>
      </c>
      <c r="B193" s="35" t="s">
        <v>59</v>
      </c>
      <c r="C193" s="35">
        <v>957.17909999999995</v>
      </c>
      <c r="D193" s="36">
        <v>942.15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x14ac:dyDescent="0.25">
      <c r="A194" s="35" t="s">
        <v>20</v>
      </c>
      <c r="B194" s="35" t="s">
        <v>60</v>
      </c>
      <c r="C194" s="35">
        <v>212.38130000000001</v>
      </c>
      <c r="D194" s="36">
        <v>209.05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x14ac:dyDescent="0.25">
      <c r="A195" s="35" t="s">
        <v>20</v>
      </c>
      <c r="B195" s="35" t="s">
        <v>61</v>
      </c>
      <c r="C195" s="35">
        <v>360.98050000000001</v>
      </c>
      <c r="D195" s="36">
        <v>355.31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x14ac:dyDescent="0.25">
      <c r="A196" s="35" t="s">
        <v>20</v>
      </c>
      <c r="B196" s="35" t="s">
        <v>703</v>
      </c>
      <c r="C196" s="35">
        <v>43.448300000000003</v>
      </c>
      <c r="D196" s="36">
        <v>42.77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x14ac:dyDescent="0.25">
      <c r="A197" s="35" t="s">
        <v>20</v>
      </c>
      <c r="B197" s="35" t="s">
        <v>35</v>
      </c>
      <c r="C197" s="35">
        <v>7665.6655000000001</v>
      </c>
      <c r="D197" s="36">
        <v>7545.31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x14ac:dyDescent="0.25">
      <c r="A198" s="35" t="s">
        <v>20</v>
      </c>
      <c r="B198" s="35" t="s">
        <v>515</v>
      </c>
      <c r="C198" s="35">
        <v>379.57170000000002</v>
      </c>
      <c r="D198" s="36">
        <v>373.61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x14ac:dyDescent="0.25">
      <c r="A199" s="35" t="s">
        <v>20</v>
      </c>
      <c r="B199" s="35" t="s">
        <v>704</v>
      </c>
      <c r="C199" s="35">
        <v>119.6865</v>
      </c>
      <c r="D199" s="36">
        <v>117.81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x14ac:dyDescent="0.25">
      <c r="A200" s="35" t="s">
        <v>20</v>
      </c>
      <c r="B200" s="35" t="s">
        <v>599</v>
      </c>
      <c r="C200" s="35">
        <v>182.08609999999999</v>
      </c>
      <c r="D200" s="36">
        <v>179.23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x14ac:dyDescent="0.25">
      <c r="A201" s="35" t="s">
        <v>20</v>
      </c>
      <c r="B201" s="35" t="s">
        <v>668</v>
      </c>
      <c r="C201" s="35">
        <v>151.2611</v>
      </c>
      <c r="D201" s="36">
        <v>148.88999999999999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x14ac:dyDescent="0.25">
      <c r="A202" s="35" t="s">
        <v>20</v>
      </c>
      <c r="B202" s="35" t="s">
        <v>669</v>
      </c>
      <c r="C202" s="35">
        <v>1059.6108999999999</v>
      </c>
      <c r="D202" s="36">
        <v>1042.97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x14ac:dyDescent="0.25">
      <c r="A203" s="35" t="s">
        <v>20</v>
      </c>
      <c r="B203" s="35" t="s">
        <v>670</v>
      </c>
      <c r="C203" s="35">
        <v>211.57919999999999</v>
      </c>
      <c r="D203" s="36">
        <v>208.26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x14ac:dyDescent="0.25">
      <c r="A204" s="35" t="s">
        <v>20</v>
      </c>
      <c r="B204" s="35" t="s">
        <v>671</v>
      </c>
      <c r="C204" s="35">
        <v>1371.2127</v>
      </c>
      <c r="D204" s="36">
        <v>1349.68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x14ac:dyDescent="0.25">
      <c r="A205" s="35" t="s">
        <v>20</v>
      </c>
      <c r="B205" s="35" t="s">
        <v>705</v>
      </c>
      <c r="C205" s="35">
        <v>131.1198</v>
      </c>
      <c r="D205" s="36">
        <v>129.06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x14ac:dyDescent="0.25">
      <c r="A206" s="35" t="s">
        <v>20</v>
      </c>
      <c r="B206" s="35" t="s">
        <v>471</v>
      </c>
      <c r="C206" s="35">
        <v>85.918800000000005</v>
      </c>
      <c r="D206" s="36">
        <v>84.57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x14ac:dyDescent="0.25">
      <c r="A207" s="35" t="s">
        <v>20</v>
      </c>
      <c r="B207" s="35" t="s">
        <v>373</v>
      </c>
      <c r="C207" s="35">
        <v>78.938100000000006</v>
      </c>
      <c r="D207" s="36">
        <v>77.7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s="217" customFormat="1" x14ac:dyDescent="0.25">
      <c r="A208" s="35" t="s">
        <v>20</v>
      </c>
      <c r="B208" s="35" t="s">
        <v>63</v>
      </c>
      <c r="C208" s="35">
        <v>597.77980000000002</v>
      </c>
      <c r="D208" s="36">
        <v>588.39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s="217" customFormat="1" x14ac:dyDescent="0.25">
      <c r="A209" s="35" t="s">
        <v>20</v>
      </c>
      <c r="B209" s="35" t="s">
        <v>64</v>
      </c>
      <c r="C209" s="35">
        <v>203.33090000000001</v>
      </c>
      <c r="D209" s="36">
        <v>200.14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s="276" customFormat="1" x14ac:dyDescent="0.25">
      <c r="A210" s="35" t="s">
        <v>20</v>
      </c>
      <c r="B210" s="35" t="s">
        <v>672</v>
      </c>
      <c r="C210" s="35">
        <v>412.77519999999998</v>
      </c>
      <c r="D210" s="36">
        <v>406.29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s="276" customFormat="1" x14ac:dyDescent="0.25">
      <c r="A211" s="35" t="s">
        <v>20</v>
      </c>
      <c r="B211" s="35" t="s">
        <v>706</v>
      </c>
      <c r="C211" s="35">
        <v>39.403199999999998</v>
      </c>
      <c r="D211" s="36">
        <v>38.78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s="276" customFormat="1" x14ac:dyDescent="0.25">
      <c r="A212" s="35" t="s">
        <v>20</v>
      </c>
      <c r="B212" s="35" t="s">
        <v>492</v>
      </c>
      <c r="C212" s="35">
        <v>261.69170000000003</v>
      </c>
      <c r="D212" s="36">
        <v>257.58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s="276" customFormat="1" x14ac:dyDescent="0.25">
      <c r="A213" s="35" t="s">
        <v>20</v>
      </c>
      <c r="B213" s="35" t="s">
        <v>36</v>
      </c>
      <c r="C213" s="35">
        <v>203.80959999999999</v>
      </c>
      <c r="D213" s="36">
        <v>200.61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s="276" customFormat="1" x14ac:dyDescent="0.25">
      <c r="A214" s="35" t="s">
        <v>20</v>
      </c>
      <c r="B214" s="35" t="s">
        <v>673</v>
      </c>
      <c r="C214" s="35">
        <v>6.5945</v>
      </c>
      <c r="D214" s="36">
        <v>6.49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s="276" customFormat="1" x14ac:dyDescent="0.25">
      <c r="A215" s="35" t="s">
        <v>20</v>
      </c>
      <c r="B215" s="35" t="s">
        <v>449</v>
      </c>
      <c r="C215" s="35">
        <v>416.29829999999998</v>
      </c>
      <c r="D215" s="36">
        <v>409.76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s="276" customFormat="1" x14ac:dyDescent="0.25">
      <c r="A216" s="35" t="s">
        <v>20</v>
      </c>
      <c r="B216" s="35" t="s">
        <v>362</v>
      </c>
      <c r="C216" s="35">
        <v>372.02640000000002</v>
      </c>
      <c r="D216" s="36">
        <v>366.19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s="276" customFormat="1" x14ac:dyDescent="0.25">
      <c r="A217" s="35" t="s">
        <v>20</v>
      </c>
      <c r="B217" s="35" t="s">
        <v>363</v>
      </c>
      <c r="C217" s="35">
        <v>533.25720000000001</v>
      </c>
      <c r="D217" s="36">
        <v>524.88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s="276" customFormat="1" x14ac:dyDescent="0.25">
      <c r="A218" s="35" t="s">
        <v>20</v>
      </c>
      <c r="B218" s="35" t="s">
        <v>568</v>
      </c>
      <c r="C218" s="35">
        <v>113.80970000000001</v>
      </c>
      <c r="D218" s="36">
        <v>112.02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s="276" customFormat="1" x14ac:dyDescent="0.25">
      <c r="A219" s="35" t="s">
        <v>20</v>
      </c>
      <c r="B219" s="35" t="s">
        <v>37</v>
      </c>
      <c r="C219" s="35">
        <v>119.7353</v>
      </c>
      <c r="D219" s="36">
        <v>117.86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s="276" customFormat="1" x14ac:dyDescent="0.25">
      <c r="A220" s="35" t="s">
        <v>20</v>
      </c>
      <c r="B220" s="35" t="s">
        <v>38</v>
      </c>
      <c r="C220" s="35">
        <v>7.22E-2</v>
      </c>
      <c r="D220" s="36">
        <v>7.0000000000000007E-2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s="217" customFormat="1" x14ac:dyDescent="0.25">
      <c r="A221" s="35" t="s">
        <v>20</v>
      </c>
      <c r="B221" s="35" t="s">
        <v>39</v>
      </c>
      <c r="C221" s="35">
        <v>6.88E-2</v>
      </c>
      <c r="D221" s="36">
        <v>7.0000000000000007E-2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s="217" customFormat="1" x14ac:dyDescent="0.25">
      <c r="A222" s="35" t="s">
        <v>20</v>
      </c>
      <c r="B222" s="35" t="s">
        <v>602</v>
      </c>
      <c r="C222" s="35">
        <v>181.10069999999999</v>
      </c>
      <c r="D222" s="36">
        <v>178.26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x14ac:dyDescent="0.25">
      <c r="A223" s="35" t="s">
        <v>20</v>
      </c>
      <c r="B223" s="35" t="s">
        <v>470</v>
      </c>
      <c r="C223" s="35">
        <v>76.749700000000004</v>
      </c>
      <c r="D223" s="36">
        <v>75.540000000000006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x14ac:dyDescent="0.25">
      <c r="A224" s="35" t="s">
        <v>20</v>
      </c>
      <c r="B224" s="35" t="s">
        <v>674</v>
      </c>
      <c r="C224" s="35">
        <v>52.606999999999999</v>
      </c>
      <c r="D224" s="36">
        <v>51.78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x14ac:dyDescent="0.25">
      <c r="A225" s="35" t="s">
        <v>20</v>
      </c>
      <c r="B225" s="35" t="s">
        <v>675</v>
      </c>
      <c r="C225" s="35">
        <v>156.24080000000001</v>
      </c>
      <c r="D225" s="36">
        <v>153.79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x14ac:dyDescent="0.25">
      <c r="A226" s="35" t="s">
        <v>20</v>
      </c>
      <c r="B226" s="35" t="s">
        <v>707</v>
      </c>
      <c r="C226" s="35">
        <v>318.83749999999998</v>
      </c>
      <c r="D226" s="36">
        <v>313.83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x14ac:dyDescent="0.25">
      <c r="A227" s="35" t="s">
        <v>20</v>
      </c>
      <c r="B227" s="35" t="s">
        <v>676</v>
      </c>
      <c r="C227" s="35">
        <v>2232.1529999999998</v>
      </c>
      <c r="D227" s="36">
        <v>2197.11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x14ac:dyDescent="0.25">
      <c r="A228" s="35" t="s">
        <v>20</v>
      </c>
      <c r="B228" s="35" t="s">
        <v>677</v>
      </c>
      <c r="C228" s="35">
        <v>67.683400000000006</v>
      </c>
      <c r="D228" s="36">
        <v>66.62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s="278" customFormat="1" x14ac:dyDescent="0.25">
      <c r="A229" s="35" t="s">
        <v>20</v>
      </c>
      <c r="B229" s="35" t="s">
        <v>678</v>
      </c>
      <c r="C229" s="35">
        <v>442.94189999999998</v>
      </c>
      <c r="D229" s="36">
        <v>435.99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s="278" customFormat="1" x14ac:dyDescent="0.25">
      <c r="A230" s="35" t="s">
        <v>20</v>
      </c>
      <c r="B230" s="35" t="s">
        <v>601</v>
      </c>
      <c r="C230" s="35">
        <v>47.528799999999997</v>
      </c>
      <c r="D230" s="36">
        <v>46.78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s="278" customFormat="1" x14ac:dyDescent="0.25">
      <c r="A231" s="35" t="s">
        <v>20</v>
      </c>
      <c r="B231" s="35" t="s">
        <v>505</v>
      </c>
      <c r="C231" s="35">
        <v>2430.2727</v>
      </c>
      <c r="D231" s="36">
        <v>2392.12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s="278" customFormat="1" x14ac:dyDescent="0.25">
      <c r="A232" s="35" t="s">
        <v>20</v>
      </c>
      <c r="B232" s="35" t="s">
        <v>65</v>
      </c>
      <c r="C232" s="35">
        <v>374.57119999999998</v>
      </c>
      <c r="D232" s="36">
        <v>368.69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s="278" customFormat="1" x14ac:dyDescent="0.25">
      <c r="A233" s="35" t="s">
        <v>20</v>
      </c>
      <c r="B233" s="35" t="s">
        <v>519</v>
      </c>
      <c r="C233" s="35">
        <v>97.316199999999995</v>
      </c>
      <c r="D233" s="36">
        <v>95.79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s="278" customFormat="1" x14ac:dyDescent="0.25">
      <c r="A234" s="35" t="s">
        <v>20</v>
      </c>
      <c r="B234" s="35" t="s">
        <v>679</v>
      </c>
      <c r="C234" s="35">
        <v>168.21979999999999</v>
      </c>
      <c r="D234" s="36">
        <v>165.58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s="278" customFormat="1" x14ac:dyDescent="0.25">
      <c r="A235" s="35" t="s">
        <v>20</v>
      </c>
      <c r="B235" s="35" t="s">
        <v>708</v>
      </c>
      <c r="C235" s="35">
        <v>35.215200000000003</v>
      </c>
      <c r="D235" s="36">
        <v>34.659999999999997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s="278" customFormat="1" x14ac:dyDescent="0.25">
      <c r="A236" s="35" t="s">
        <v>20</v>
      </c>
      <c r="B236" s="35" t="s">
        <v>680</v>
      </c>
      <c r="C236" s="35">
        <v>85.248800000000003</v>
      </c>
      <c r="D236" s="36">
        <v>83.91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x14ac:dyDescent="0.25">
      <c r="A237" s="35" t="s">
        <v>20</v>
      </c>
      <c r="B237" s="35" t="s">
        <v>66</v>
      </c>
      <c r="C237" s="35">
        <v>1181.6452999999999</v>
      </c>
      <c r="D237" s="36">
        <v>1163.0899999999999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x14ac:dyDescent="0.25">
      <c r="A238" s="35" t="s">
        <v>20</v>
      </c>
      <c r="B238" s="35" t="s">
        <v>67</v>
      </c>
      <c r="C238" s="35">
        <v>2369.9007999999999</v>
      </c>
      <c r="D238" s="36">
        <v>2332.69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x14ac:dyDescent="0.25">
      <c r="A239" s="35" t="s">
        <v>20</v>
      </c>
      <c r="B239" s="35" t="s">
        <v>68</v>
      </c>
      <c r="C239" s="35">
        <v>2079.4645</v>
      </c>
      <c r="D239" s="36">
        <v>2046.82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x14ac:dyDescent="0.25">
      <c r="A240" s="35" t="s">
        <v>20</v>
      </c>
      <c r="B240" s="35" t="s">
        <v>574</v>
      </c>
      <c r="C240" s="35">
        <v>141.58150000000001</v>
      </c>
      <c r="D240" s="36">
        <v>139.36000000000001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x14ac:dyDescent="0.25">
      <c r="A241" s="35" t="s">
        <v>20</v>
      </c>
      <c r="B241" s="35" t="s">
        <v>469</v>
      </c>
      <c r="C241" s="35">
        <v>4.4010999999999996</v>
      </c>
      <c r="D241" s="36">
        <v>4.33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x14ac:dyDescent="0.25">
      <c r="A242" s="35" t="s">
        <v>20</v>
      </c>
      <c r="B242" s="35" t="s">
        <v>681</v>
      </c>
      <c r="C242" s="35">
        <v>1573.7672</v>
      </c>
      <c r="D242" s="36">
        <v>1549.06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x14ac:dyDescent="0.25">
      <c r="A243" s="35" t="s">
        <v>20</v>
      </c>
      <c r="B243" s="35" t="s">
        <v>565</v>
      </c>
      <c r="C243" s="35">
        <v>268.262</v>
      </c>
      <c r="D243" s="36">
        <v>264.05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x14ac:dyDescent="0.25">
      <c r="A244" s="35" t="s">
        <v>20</v>
      </c>
      <c r="B244" s="35" t="s">
        <v>417</v>
      </c>
      <c r="C244" s="35">
        <v>330.19560000000001</v>
      </c>
      <c r="D244" s="36">
        <v>325.01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x14ac:dyDescent="0.25">
      <c r="A245" s="35" t="s">
        <v>20</v>
      </c>
      <c r="B245" s="35" t="s">
        <v>474</v>
      </c>
      <c r="C245" s="35">
        <v>367.59679999999997</v>
      </c>
      <c r="D245" s="36">
        <v>361.83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x14ac:dyDescent="0.25">
      <c r="A246" s="35" t="s">
        <v>20</v>
      </c>
      <c r="B246" s="35" t="s">
        <v>416</v>
      </c>
      <c r="C246" s="35">
        <v>432.798</v>
      </c>
      <c r="D246" s="36">
        <v>426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x14ac:dyDescent="0.25">
      <c r="A247" s="35" t="s">
        <v>20</v>
      </c>
      <c r="B247" s="35" t="s">
        <v>477</v>
      </c>
      <c r="C247" s="35">
        <v>76.469800000000006</v>
      </c>
      <c r="D247" s="36">
        <v>75.27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x14ac:dyDescent="0.25">
      <c r="A248" s="35" t="s">
        <v>20</v>
      </c>
      <c r="B248" s="35" t="s">
        <v>476</v>
      </c>
      <c r="C248" s="35">
        <v>59.119</v>
      </c>
      <c r="D248" s="36">
        <v>58.19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x14ac:dyDescent="0.25">
      <c r="A249" s="35" t="s">
        <v>20</v>
      </c>
      <c r="B249" s="35" t="s">
        <v>473</v>
      </c>
      <c r="C249" s="35">
        <v>111.3237</v>
      </c>
      <c r="D249" s="36">
        <v>109.58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x14ac:dyDescent="0.25">
      <c r="A250" s="35" t="s">
        <v>20</v>
      </c>
      <c r="B250" s="35" t="s">
        <v>475</v>
      </c>
      <c r="C250" s="35">
        <v>234.49340000000001</v>
      </c>
      <c r="D250" s="36">
        <v>230.81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x14ac:dyDescent="0.25">
      <c r="A251" s="35" t="s">
        <v>20</v>
      </c>
      <c r="B251" s="35" t="s">
        <v>472</v>
      </c>
      <c r="C251" s="35">
        <v>267.74720000000002</v>
      </c>
      <c r="D251" s="36">
        <v>263.54000000000002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x14ac:dyDescent="0.25">
      <c r="A252" s="35" t="s">
        <v>20</v>
      </c>
      <c r="B252" s="35" t="s">
        <v>414</v>
      </c>
      <c r="C252" s="35">
        <v>1204.3915999999999</v>
      </c>
      <c r="D252" s="36">
        <v>1185.48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x14ac:dyDescent="0.25">
      <c r="A253" s="35" t="s">
        <v>20</v>
      </c>
      <c r="B253" s="35" t="s">
        <v>415</v>
      </c>
      <c r="C253" s="35">
        <v>781.10239999999999</v>
      </c>
      <c r="D253" s="36">
        <v>768.84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x14ac:dyDescent="0.25">
      <c r="A254" s="35" t="s">
        <v>20</v>
      </c>
      <c r="B254" s="35" t="s">
        <v>69</v>
      </c>
      <c r="C254" s="35">
        <v>234.64179999999999</v>
      </c>
      <c r="D254" s="36">
        <v>230.96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x14ac:dyDescent="0.25">
      <c r="A255" s="35" t="s">
        <v>20</v>
      </c>
      <c r="B255" s="35" t="s">
        <v>86</v>
      </c>
      <c r="C255" s="35">
        <v>207.80770000000001</v>
      </c>
      <c r="D255" s="36">
        <v>204.55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x14ac:dyDescent="0.25">
      <c r="A256" s="35" t="s">
        <v>20</v>
      </c>
      <c r="B256" s="35" t="s">
        <v>87</v>
      </c>
      <c r="C256" s="35">
        <v>195.23759999999999</v>
      </c>
      <c r="D256" s="36">
        <v>192.17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x14ac:dyDescent="0.25">
      <c r="A257" s="35" t="s">
        <v>20</v>
      </c>
      <c r="B257" s="35" t="s">
        <v>88</v>
      </c>
      <c r="C257" s="35">
        <v>175.56540000000001</v>
      </c>
      <c r="D257" s="36">
        <v>172.81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x14ac:dyDescent="0.25">
      <c r="A258" s="35" t="s">
        <v>20</v>
      </c>
      <c r="B258" s="35" t="s">
        <v>70</v>
      </c>
      <c r="C258" s="35">
        <v>179.0531</v>
      </c>
      <c r="D258" s="36">
        <v>176.24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x14ac:dyDescent="0.25">
      <c r="A259" s="35" t="s">
        <v>20</v>
      </c>
      <c r="B259" s="35" t="s">
        <v>89</v>
      </c>
      <c r="C259" s="35">
        <v>198.29300000000001</v>
      </c>
      <c r="D259" s="36">
        <v>195.18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x14ac:dyDescent="0.25">
      <c r="A260" s="35" t="s">
        <v>20</v>
      </c>
      <c r="B260" s="35" t="s">
        <v>90</v>
      </c>
      <c r="C260" s="35">
        <v>268.9151</v>
      </c>
      <c r="D260" s="36">
        <v>264.69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x14ac:dyDescent="0.25">
      <c r="A261" s="35" t="s">
        <v>20</v>
      </c>
      <c r="B261" s="35" t="s">
        <v>91</v>
      </c>
      <c r="C261" s="35">
        <v>94.682500000000005</v>
      </c>
      <c r="D261" s="36">
        <v>93.2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x14ac:dyDescent="0.25">
      <c r="A262" s="35" t="s">
        <v>20</v>
      </c>
      <c r="B262" s="35" t="s">
        <v>71</v>
      </c>
      <c r="C262" s="35">
        <v>147.46950000000001</v>
      </c>
      <c r="D262" s="36">
        <v>145.15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s="314" customFormat="1" x14ac:dyDescent="0.25">
      <c r="A263" s="35" t="s">
        <v>20</v>
      </c>
      <c r="B263" s="35" t="s">
        <v>92</v>
      </c>
      <c r="C263" s="35">
        <v>195.0849</v>
      </c>
      <c r="D263" s="36">
        <v>192.02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s="314" customFormat="1" x14ac:dyDescent="0.25">
      <c r="A264" s="35" t="s">
        <v>20</v>
      </c>
      <c r="B264" s="35" t="s">
        <v>72</v>
      </c>
      <c r="C264" s="35">
        <v>145.29839999999999</v>
      </c>
      <c r="D264" s="36">
        <v>143.02000000000001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s="314" customFormat="1" x14ac:dyDescent="0.25">
      <c r="A265" s="35" t="s">
        <v>20</v>
      </c>
      <c r="B265" s="35" t="s">
        <v>93</v>
      </c>
      <c r="C265" s="35">
        <v>64.732299999999995</v>
      </c>
      <c r="D265" s="36">
        <v>63.72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s="314" customFormat="1" x14ac:dyDescent="0.25">
      <c r="A266" s="35" t="s">
        <v>20</v>
      </c>
      <c r="B266" s="35" t="s">
        <v>94</v>
      </c>
      <c r="C266" s="35">
        <v>154.1628</v>
      </c>
      <c r="D266" s="36">
        <v>151.74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s="314" customFormat="1" x14ac:dyDescent="0.25">
      <c r="A267" s="35" t="s">
        <v>20</v>
      </c>
      <c r="B267" s="35" t="s">
        <v>95</v>
      </c>
      <c r="C267" s="35">
        <v>140.7122</v>
      </c>
      <c r="D267" s="36">
        <v>138.5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s="314" customFormat="1" x14ac:dyDescent="0.25">
      <c r="A268" s="35" t="s">
        <v>20</v>
      </c>
      <c r="B268" s="35" t="s">
        <v>73</v>
      </c>
      <c r="C268" s="35">
        <v>169.13720000000001</v>
      </c>
      <c r="D268" s="36">
        <v>166.48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s="314" customFormat="1" x14ac:dyDescent="0.25">
      <c r="A269" s="35" t="s">
        <v>20</v>
      </c>
      <c r="B269" s="35" t="s">
        <v>74</v>
      </c>
      <c r="C269" s="35">
        <v>170.09690000000001</v>
      </c>
      <c r="D269" s="36">
        <v>167.43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s="314" customFormat="1" x14ac:dyDescent="0.25">
      <c r="A270" s="35" t="s">
        <v>20</v>
      </c>
      <c r="B270" s="35" t="s">
        <v>96</v>
      </c>
      <c r="C270" s="35">
        <v>173.1694</v>
      </c>
      <c r="D270" s="36">
        <v>170.45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s="314" customFormat="1" x14ac:dyDescent="0.25">
      <c r="A271" s="35" t="s">
        <v>20</v>
      </c>
      <c r="B271" s="35" t="s">
        <v>75</v>
      </c>
      <c r="C271" s="35">
        <v>111.9323</v>
      </c>
      <c r="D271" s="36">
        <v>110.17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x14ac:dyDescent="0.25">
      <c r="A272" s="35" t="s">
        <v>20</v>
      </c>
      <c r="B272" s="35" t="s">
        <v>97</v>
      </c>
      <c r="C272" s="35">
        <v>193.75319999999999</v>
      </c>
      <c r="D272" s="36">
        <v>190.71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x14ac:dyDescent="0.25">
      <c r="A273" s="35" t="s">
        <v>20</v>
      </c>
      <c r="B273" s="35" t="s">
        <v>98</v>
      </c>
      <c r="C273" s="35">
        <v>83.998999999999995</v>
      </c>
      <c r="D273" s="36">
        <v>82.68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x14ac:dyDescent="0.25">
      <c r="A274" s="35" t="s">
        <v>20</v>
      </c>
      <c r="B274" s="35" t="s">
        <v>99</v>
      </c>
      <c r="C274" s="35">
        <v>170.5275</v>
      </c>
      <c r="D274" s="36">
        <v>167.85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x14ac:dyDescent="0.25">
      <c r="A275" s="35" t="s">
        <v>20</v>
      </c>
      <c r="B275" s="35" t="s">
        <v>76</v>
      </c>
      <c r="C275" s="35">
        <v>146.21279999999999</v>
      </c>
      <c r="D275" s="36">
        <v>143.91999999999999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x14ac:dyDescent="0.25">
      <c r="A276" s="35" t="s">
        <v>20</v>
      </c>
      <c r="B276" s="35" t="s">
        <v>77</v>
      </c>
      <c r="C276" s="35">
        <v>200.78489999999999</v>
      </c>
      <c r="D276" s="36">
        <v>197.63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x14ac:dyDescent="0.25">
      <c r="A277" s="35" t="s">
        <v>20</v>
      </c>
      <c r="B277" s="35" t="s">
        <v>78</v>
      </c>
      <c r="C277" s="35">
        <v>216.57210000000001</v>
      </c>
      <c r="D277" s="36">
        <v>213.17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x14ac:dyDescent="0.25">
      <c r="A278" s="35" t="s">
        <v>20</v>
      </c>
      <c r="B278" s="35" t="s">
        <v>100</v>
      </c>
      <c r="C278" s="35">
        <v>215.57939999999999</v>
      </c>
      <c r="D278" s="36">
        <v>212.19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x14ac:dyDescent="0.25">
      <c r="A279" s="35" t="s">
        <v>20</v>
      </c>
      <c r="B279" s="35" t="s">
        <v>101</v>
      </c>
      <c r="C279" s="35">
        <v>192.59129999999999</v>
      </c>
      <c r="D279" s="36">
        <v>189.57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x14ac:dyDescent="0.25">
      <c r="A280" s="35" t="s">
        <v>20</v>
      </c>
      <c r="B280" s="35" t="s">
        <v>79</v>
      </c>
      <c r="C280" s="35">
        <v>19.326899999999998</v>
      </c>
      <c r="D280" s="36">
        <v>19.02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x14ac:dyDescent="0.25">
      <c r="A281" s="35" t="s">
        <v>20</v>
      </c>
      <c r="B281" s="35" t="s">
        <v>80</v>
      </c>
      <c r="C281" s="35">
        <v>138.08799999999999</v>
      </c>
      <c r="D281" s="36">
        <v>135.91999999999999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x14ac:dyDescent="0.25">
      <c r="A282" s="35" t="s">
        <v>20</v>
      </c>
      <c r="B282" s="35" t="s">
        <v>81</v>
      </c>
      <c r="C282" s="35">
        <v>192.41460000000001</v>
      </c>
      <c r="D282" s="36">
        <v>189.39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x14ac:dyDescent="0.25">
      <c r="A283" s="35" t="s">
        <v>20</v>
      </c>
      <c r="B283" s="35" t="s">
        <v>102</v>
      </c>
      <c r="C283" s="35">
        <v>178.9597</v>
      </c>
      <c r="D283" s="36">
        <v>176.15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x14ac:dyDescent="0.25">
      <c r="A284" s="35" t="s">
        <v>20</v>
      </c>
      <c r="B284" s="35" t="s">
        <v>103</v>
      </c>
      <c r="C284" s="35">
        <v>458.8664</v>
      </c>
      <c r="D284" s="36">
        <v>451.66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x14ac:dyDescent="0.25">
      <c r="A285" s="35" t="s">
        <v>20</v>
      </c>
      <c r="B285" s="35" t="s">
        <v>104</v>
      </c>
      <c r="C285" s="35">
        <v>153.1268</v>
      </c>
      <c r="D285" s="36">
        <v>150.72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x14ac:dyDescent="0.25">
      <c r="A286" s="35" t="s">
        <v>20</v>
      </c>
      <c r="B286" s="35" t="s">
        <v>82</v>
      </c>
      <c r="C286" s="35">
        <v>169.33330000000001</v>
      </c>
      <c r="D286" s="36">
        <v>166.67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x14ac:dyDescent="0.25">
      <c r="A287" s="35" t="s">
        <v>20</v>
      </c>
      <c r="B287" s="35" t="s">
        <v>83</v>
      </c>
      <c r="C287" s="35">
        <v>162.03039999999999</v>
      </c>
      <c r="D287" s="36">
        <v>159.49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x14ac:dyDescent="0.25">
      <c r="A288" s="35" t="s">
        <v>20</v>
      </c>
      <c r="B288" s="35" t="s">
        <v>84</v>
      </c>
      <c r="C288" s="35">
        <v>224.185</v>
      </c>
      <c r="D288" s="36">
        <v>220.67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x14ac:dyDescent="0.25">
      <c r="A289" s="35" t="s">
        <v>20</v>
      </c>
      <c r="B289" s="35" t="s">
        <v>105</v>
      </c>
      <c r="C289" s="35">
        <v>145.35249999999999</v>
      </c>
      <c r="D289" s="36">
        <v>143.07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x14ac:dyDescent="0.25">
      <c r="A290" s="35" t="s">
        <v>20</v>
      </c>
      <c r="B290" s="35" t="s">
        <v>106</v>
      </c>
      <c r="C290" s="35">
        <v>111.6728</v>
      </c>
      <c r="D290" s="36">
        <v>109.92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x14ac:dyDescent="0.25">
      <c r="A291" s="35" t="s">
        <v>20</v>
      </c>
      <c r="B291" s="35" t="s">
        <v>107</v>
      </c>
      <c r="C291" s="35">
        <v>205.92490000000001</v>
      </c>
      <c r="D291" s="36">
        <v>202.69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x14ac:dyDescent="0.25">
      <c r="A292" s="35" t="s">
        <v>20</v>
      </c>
      <c r="B292" s="35" t="s">
        <v>85</v>
      </c>
      <c r="C292" s="35">
        <v>173.66980000000001</v>
      </c>
      <c r="D292" s="36">
        <v>170.94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x14ac:dyDescent="0.25">
      <c r="A293" s="35" t="s">
        <v>20</v>
      </c>
      <c r="B293" s="35" t="s">
        <v>108</v>
      </c>
      <c r="C293" s="35">
        <v>271.44839999999999</v>
      </c>
      <c r="D293" s="36">
        <v>267.19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x14ac:dyDescent="0.25">
      <c r="A294" s="35" t="s">
        <v>20</v>
      </c>
      <c r="B294" s="35" t="s">
        <v>495</v>
      </c>
      <c r="C294" s="35">
        <v>121.6705</v>
      </c>
      <c r="D294" s="36">
        <v>119.76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x14ac:dyDescent="0.25">
      <c r="A295" s="35" t="s">
        <v>20</v>
      </c>
      <c r="B295" s="35" t="s">
        <v>494</v>
      </c>
      <c r="C295" s="35">
        <v>116.6082</v>
      </c>
      <c r="D295" s="36">
        <v>114.78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x14ac:dyDescent="0.25">
      <c r="A296" s="35" t="s">
        <v>20</v>
      </c>
      <c r="B296" s="35" t="s">
        <v>422</v>
      </c>
      <c r="C296" s="35">
        <v>125.6938</v>
      </c>
      <c r="D296" s="36">
        <v>123.72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x14ac:dyDescent="0.25">
      <c r="A297" s="35" t="s">
        <v>20</v>
      </c>
      <c r="B297" s="35" t="s">
        <v>493</v>
      </c>
      <c r="C297" s="35">
        <v>172.57419999999999</v>
      </c>
      <c r="D297" s="36">
        <v>169.86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x14ac:dyDescent="0.25">
      <c r="A298" s="35" t="s">
        <v>20</v>
      </c>
      <c r="B298" s="35" t="s">
        <v>423</v>
      </c>
      <c r="C298" s="35">
        <v>196.31530000000001</v>
      </c>
      <c r="D298" s="36">
        <v>193.23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x14ac:dyDescent="0.25">
      <c r="A299" s="35" t="s">
        <v>20</v>
      </c>
      <c r="B299" s="35" t="s">
        <v>109</v>
      </c>
      <c r="C299" s="35">
        <v>155.72319999999999</v>
      </c>
      <c r="D299" s="36">
        <v>153.28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x14ac:dyDescent="0.25">
      <c r="A300" s="35" t="s">
        <v>20</v>
      </c>
      <c r="B300" s="35" t="s">
        <v>682</v>
      </c>
      <c r="C300" s="35">
        <v>970.74919999999997</v>
      </c>
      <c r="D300" s="36">
        <v>955.51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x14ac:dyDescent="0.25">
      <c r="A301" s="35" t="s">
        <v>20</v>
      </c>
      <c r="B301" s="35" t="s">
        <v>513</v>
      </c>
      <c r="C301" s="35">
        <v>198.5273</v>
      </c>
      <c r="D301" s="36">
        <v>195.41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x14ac:dyDescent="0.25">
      <c r="A302" s="35" t="s">
        <v>20</v>
      </c>
      <c r="B302" s="35" t="s">
        <v>110</v>
      </c>
      <c r="C302" s="35">
        <v>443.39420000000001</v>
      </c>
      <c r="D302" s="36">
        <v>436.43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x14ac:dyDescent="0.25">
      <c r="A303" s="35" t="s">
        <v>20</v>
      </c>
      <c r="B303" s="35" t="s">
        <v>381</v>
      </c>
      <c r="C303" s="35">
        <v>181.81379999999999</v>
      </c>
      <c r="D303" s="36">
        <v>178.96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x14ac:dyDescent="0.25">
      <c r="A304" s="35" t="s">
        <v>20</v>
      </c>
      <c r="B304" s="35" t="s">
        <v>382</v>
      </c>
      <c r="C304" s="35">
        <v>318.27379999999999</v>
      </c>
      <c r="D304" s="36">
        <v>313.27999999999997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x14ac:dyDescent="0.25">
      <c r="A305" s="35" t="s">
        <v>20</v>
      </c>
      <c r="B305" s="35" t="s">
        <v>380</v>
      </c>
      <c r="C305" s="35">
        <v>1498.8731</v>
      </c>
      <c r="D305" s="36">
        <v>1475.34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x14ac:dyDescent="0.25">
      <c r="A306" s="35" t="s">
        <v>20</v>
      </c>
      <c r="B306" s="35" t="s">
        <v>433</v>
      </c>
      <c r="C306" s="35">
        <v>6.5254000000000003</v>
      </c>
      <c r="D306" s="36">
        <v>6.42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x14ac:dyDescent="0.25">
      <c r="A307" s="35" t="s">
        <v>20</v>
      </c>
      <c r="B307" s="35" t="s">
        <v>434</v>
      </c>
      <c r="C307" s="35">
        <v>5.6921999999999997</v>
      </c>
      <c r="D307" s="36">
        <v>5.6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x14ac:dyDescent="0.25">
      <c r="A308" s="35" t="s">
        <v>20</v>
      </c>
      <c r="B308" s="35" t="s">
        <v>435</v>
      </c>
      <c r="C308" s="35">
        <v>6.1401000000000003</v>
      </c>
      <c r="D308" s="36">
        <v>6.04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x14ac:dyDescent="0.25">
      <c r="A309" s="35" t="s">
        <v>20</v>
      </c>
      <c r="B309" s="35" t="s">
        <v>436</v>
      </c>
      <c r="C309" s="35">
        <v>6.2942999999999998</v>
      </c>
      <c r="D309" s="36">
        <v>6.2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x14ac:dyDescent="0.25">
      <c r="A310" s="35" t="s">
        <v>20</v>
      </c>
      <c r="B310" s="35" t="s">
        <v>413</v>
      </c>
      <c r="C310" s="35">
        <v>1525.3896999999999</v>
      </c>
      <c r="D310" s="36">
        <v>1501.44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x14ac:dyDescent="0.25">
      <c r="A311" s="35" t="s">
        <v>20</v>
      </c>
      <c r="B311" s="35" t="s">
        <v>379</v>
      </c>
      <c r="C311" s="35">
        <v>262.91590000000002</v>
      </c>
      <c r="D311" s="36">
        <v>258.79000000000002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x14ac:dyDescent="0.25">
      <c r="A312" s="35" t="s">
        <v>20</v>
      </c>
      <c r="B312" s="35" t="s">
        <v>378</v>
      </c>
      <c r="C312" s="35">
        <v>730.14369999999997</v>
      </c>
      <c r="D312" s="36">
        <v>718.68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x14ac:dyDescent="0.25">
      <c r="A313" s="35" t="s">
        <v>20</v>
      </c>
      <c r="B313" s="35" t="s">
        <v>683</v>
      </c>
      <c r="C313" s="35">
        <v>134.63390000000001</v>
      </c>
      <c r="D313" s="36">
        <v>132.52000000000001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x14ac:dyDescent="0.25">
      <c r="A314" s="35" t="s">
        <v>20</v>
      </c>
      <c r="B314" s="35" t="s">
        <v>585</v>
      </c>
      <c r="C314" s="35">
        <v>60.963700000000003</v>
      </c>
      <c r="D314" s="36">
        <v>60.01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x14ac:dyDescent="0.25">
      <c r="A315" s="35" t="s">
        <v>20</v>
      </c>
      <c r="B315" s="35" t="s">
        <v>564</v>
      </c>
      <c r="C315" s="35">
        <v>347.15559999999999</v>
      </c>
      <c r="D315" s="36">
        <v>341.71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x14ac:dyDescent="0.25">
      <c r="A316" s="35" t="s">
        <v>20</v>
      </c>
      <c r="B316" s="35" t="s">
        <v>111</v>
      </c>
      <c r="C316" s="35">
        <v>74.143100000000004</v>
      </c>
      <c r="D316" s="36">
        <v>72.98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x14ac:dyDescent="0.25">
      <c r="A317" s="35" t="s">
        <v>20</v>
      </c>
      <c r="B317" s="35" t="s">
        <v>360</v>
      </c>
      <c r="C317" s="35">
        <v>366.69170000000003</v>
      </c>
      <c r="D317" s="36">
        <v>360.93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x14ac:dyDescent="0.25">
      <c r="A318" s="35" t="s">
        <v>20</v>
      </c>
      <c r="B318" s="35" t="s">
        <v>372</v>
      </c>
      <c r="C318" s="35">
        <v>40.3996</v>
      </c>
      <c r="D318" s="36">
        <v>39.770000000000003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x14ac:dyDescent="0.25">
      <c r="A319" s="35" t="s">
        <v>20</v>
      </c>
      <c r="B319" s="35" t="s">
        <v>684</v>
      </c>
      <c r="C319" s="35">
        <v>196.87360000000001</v>
      </c>
      <c r="D319" s="36">
        <v>193.78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x14ac:dyDescent="0.25">
      <c r="A320" s="35" t="s">
        <v>20</v>
      </c>
      <c r="B320" s="35" t="s">
        <v>567</v>
      </c>
      <c r="C320" s="35">
        <v>64.798100000000005</v>
      </c>
      <c r="D320" s="36">
        <v>63.78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x14ac:dyDescent="0.25">
      <c r="A321" s="35" t="s">
        <v>20</v>
      </c>
      <c r="B321" s="35" t="s">
        <v>394</v>
      </c>
      <c r="C321" s="35">
        <v>289.00450000000001</v>
      </c>
      <c r="D321" s="36">
        <v>284.47000000000003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x14ac:dyDescent="0.25">
      <c r="A322" s="35" t="s">
        <v>20</v>
      </c>
      <c r="B322" s="35" t="s">
        <v>478</v>
      </c>
      <c r="C322" s="35">
        <v>159.7328</v>
      </c>
      <c r="D322" s="36">
        <v>157.22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x14ac:dyDescent="0.25">
      <c r="A323" s="35" t="s">
        <v>20</v>
      </c>
      <c r="B323" s="35" t="s">
        <v>387</v>
      </c>
      <c r="C323" s="35">
        <v>130.95529999999999</v>
      </c>
      <c r="D323" s="36">
        <v>128.9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x14ac:dyDescent="0.25">
      <c r="A324" s="35" t="s">
        <v>20</v>
      </c>
      <c r="B324" s="35" t="s">
        <v>427</v>
      </c>
      <c r="C324" s="35">
        <v>329.22519999999997</v>
      </c>
      <c r="D324" s="36">
        <v>324.06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x14ac:dyDescent="0.25">
      <c r="A325" s="35" t="s">
        <v>20</v>
      </c>
      <c r="B325" s="35" t="s">
        <v>389</v>
      </c>
      <c r="C325" s="35">
        <v>244.17449999999999</v>
      </c>
      <c r="D325" s="36">
        <v>240.34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x14ac:dyDescent="0.25">
      <c r="A326" s="35" t="s">
        <v>20</v>
      </c>
      <c r="B326" s="35" t="s">
        <v>392</v>
      </c>
      <c r="C326" s="35">
        <v>284.84179999999998</v>
      </c>
      <c r="D326" s="36">
        <v>280.37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x14ac:dyDescent="0.25">
      <c r="A327" s="35" t="s">
        <v>20</v>
      </c>
      <c r="B327" s="35" t="s">
        <v>391</v>
      </c>
      <c r="C327" s="35">
        <v>207.21520000000001</v>
      </c>
      <c r="D327" s="36">
        <v>203.96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x14ac:dyDescent="0.25">
      <c r="A328" s="35" t="s">
        <v>20</v>
      </c>
      <c r="B328" s="35" t="s">
        <v>455</v>
      </c>
      <c r="C328" s="35">
        <v>288.31799999999998</v>
      </c>
      <c r="D328" s="36">
        <v>283.79000000000002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x14ac:dyDescent="0.25">
      <c r="A329" s="35" t="s">
        <v>20</v>
      </c>
      <c r="B329" s="35" t="s">
        <v>393</v>
      </c>
      <c r="C329" s="35">
        <v>170.64920000000001</v>
      </c>
      <c r="D329" s="36">
        <v>167.97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s="276" customFormat="1" x14ac:dyDescent="0.25">
      <c r="A330" s="35" t="s">
        <v>20</v>
      </c>
      <c r="B330" s="35" t="s">
        <v>396</v>
      </c>
      <c r="C330" s="35">
        <v>370.28309999999999</v>
      </c>
      <c r="D330" s="36">
        <v>364.47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x14ac:dyDescent="0.25">
      <c r="A331" s="35" t="s">
        <v>20</v>
      </c>
      <c r="B331" s="35" t="s">
        <v>398</v>
      </c>
      <c r="C331" s="35">
        <v>407.13740000000001</v>
      </c>
      <c r="D331" s="36">
        <v>400.75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x14ac:dyDescent="0.25">
      <c r="A332" s="35" t="s">
        <v>20</v>
      </c>
      <c r="B332" s="35" t="s">
        <v>397</v>
      </c>
      <c r="C332" s="35">
        <v>105.1022</v>
      </c>
      <c r="D332" s="36">
        <v>103.45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x14ac:dyDescent="0.25">
      <c r="A333" s="35" t="s">
        <v>20</v>
      </c>
      <c r="B333" s="35" t="s">
        <v>399</v>
      </c>
      <c r="C333" s="35">
        <v>154.5565</v>
      </c>
      <c r="D333" s="36">
        <v>152.13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x14ac:dyDescent="0.25">
      <c r="A334" s="35" t="s">
        <v>20</v>
      </c>
      <c r="B334" s="35" t="s">
        <v>685</v>
      </c>
      <c r="C334" s="35">
        <v>163.55590000000001</v>
      </c>
      <c r="D334" s="36">
        <v>160.99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x14ac:dyDescent="0.25">
      <c r="A335" s="35" t="s">
        <v>20</v>
      </c>
      <c r="B335" s="35" t="s">
        <v>395</v>
      </c>
      <c r="C335" s="35">
        <v>274.0575</v>
      </c>
      <c r="D335" s="36">
        <v>269.75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x14ac:dyDescent="0.25">
      <c r="A336" s="35" t="s">
        <v>20</v>
      </c>
      <c r="B336" s="35" t="s">
        <v>388</v>
      </c>
      <c r="C336" s="35">
        <v>125.1712</v>
      </c>
      <c r="D336" s="36">
        <v>123.21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x14ac:dyDescent="0.25">
      <c r="A337" s="35" t="s">
        <v>20</v>
      </c>
      <c r="B337" s="35" t="s">
        <v>400</v>
      </c>
      <c r="C337" s="35">
        <v>244.88499999999999</v>
      </c>
      <c r="D337" s="36">
        <v>241.04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x14ac:dyDescent="0.25">
      <c r="A338" s="35" t="s">
        <v>20</v>
      </c>
      <c r="B338" s="35" t="s">
        <v>390</v>
      </c>
      <c r="C338" s="35">
        <v>119.17910000000001</v>
      </c>
      <c r="D338" s="36">
        <v>117.31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x14ac:dyDescent="0.25">
      <c r="A339" s="35" t="s">
        <v>20</v>
      </c>
      <c r="B339" s="35" t="s">
        <v>428</v>
      </c>
      <c r="C339" s="35">
        <v>254.53550000000001</v>
      </c>
      <c r="D339" s="36">
        <v>250.54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x14ac:dyDescent="0.25">
      <c r="A340" s="35" t="s">
        <v>20</v>
      </c>
      <c r="B340" s="35" t="s">
        <v>401</v>
      </c>
      <c r="C340" s="35">
        <v>106.21080000000001</v>
      </c>
      <c r="D340" s="36">
        <v>104.54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x14ac:dyDescent="0.25">
      <c r="A341" s="35" t="s">
        <v>14</v>
      </c>
      <c r="B341" s="35" t="s">
        <v>112</v>
      </c>
      <c r="C341" s="35">
        <v>773375.24</v>
      </c>
      <c r="D341" s="36">
        <v>1576781.51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x14ac:dyDescent="0.25">
      <c r="A342" s="35" t="s">
        <v>13</v>
      </c>
      <c r="B342" s="35" t="s">
        <v>113</v>
      </c>
      <c r="C342" s="35">
        <v>172608.837</v>
      </c>
      <c r="D342" s="36">
        <v>154413.26999999999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x14ac:dyDescent="0.25">
      <c r="A343" s="35" t="s">
        <v>13</v>
      </c>
      <c r="B343" s="35" t="s">
        <v>114</v>
      </c>
      <c r="C343" s="35">
        <v>164560.36499999999</v>
      </c>
      <c r="D343" s="36">
        <v>147213.23000000001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x14ac:dyDescent="0.25">
      <c r="A344" s="35" t="s">
        <v>13</v>
      </c>
      <c r="B344" s="35" t="s">
        <v>115</v>
      </c>
      <c r="C344" s="35">
        <v>2700.9259999999999</v>
      </c>
      <c r="D344" s="36">
        <v>2416.21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x14ac:dyDescent="0.25">
      <c r="A345" s="35" t="s">
        <v>13</v>
      </c>
      <c r="B345" s="35" t="s">
        <v>116</v>
      </c>
      <c r="C345" s="35">
        <v>1001.756</v>
      </c>
      <c r="D345" s="36">
        <v>896.16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x14ac:dyDescent="0.25">
      <c r="A346" s="35" t="s">
        <v>13</v>
      </c>
      <c r="B346" s="35" t="s">
        <v>117</v>
      </c>
      <c r="C346" s="35">
        <v>3104.6559999999999</v>
      </c>
      <c r="D346" s="36">
        <v>2777.38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x14ac:dyDescent="0.25">
      <c r="A347" s="35" t="s">
        <v>13</v>
      </c>
      <c r="B347" s="35" t="s">
        <v>118</v>
      </c>
      <c r="C347" s="35">
        <v>0</v>
      </c>
      <c r="D347" s="36">
        <v>0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x14ac:dyDescent="0.25">
      <c r="A348" s="35" t="s">
        <v>13</v>
      </c>
      <c r="B348" s="35" t="s">
        <v>119</v>
      </c>
      <c r="C348" s="35">
        <v>630.46299999999997</v>
      </c>
      <c r="D348" s="36">
        <v>564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x14ac:dyDescent="0.25">
      <c r="A349" s="35" t="s">
        <v>13</v>
      </c>
      <c r="B349" s="35" t="s">
        <v>120</v>
      </c>
      <c r="C349" s="35">
        <v>4.84</v>
      </c>
      <c r="D349" s="36">
        <v>4.33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x14ac:dyDescent="0.25">
      <c r="A350" s="35" t="s">
        <v>13</v>
      </c>
      <c r="B350" s="35" t="s">
        <v>121</v>
      </c>
      <c r="C350" s="35">
        <v>3.6709999999999998</v>
      </c>
      <c r="D350" s="36">
        <v>3.28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x14ac:dyDescent="0.25">
      <c r="A351" s="35" t="s">
        <v>13</v>
      </c>
      <c r="B351" s="35" t="s">
        <v>122</v>
      </c>
      <c r="C351" s="35">
        <v>3.8809999999999998</v>
      </c>
      <c r="D351" s="36">
        <v>3.47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x14ac:dyDescent="0.25">
      <c r="A352" s="35" t="s">
        <v>13</v>
      </c>
      <c r="B352" s="35" t="s">
        <v>123</v>
      </c>
      <c r="C352" s="35">
        <v>0</v>
      </c>
      <c r="D352" s="36">
        <v>0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x14ac:dyDescent="0.25">
      <c r="A353" s="35" t="s">
        <v>13</v>
      </c>
      <c r="B353" s="35" t="s">
        <v>402</v>
      </c>
      <c r="C353" s="35">
        <v>223.923</v>
      </c>
      <c r="D353" s="36">
        <v>200.32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x14ac:dyDescent="0.25">
      <c r="A354" s="35" t="s">
        <v>13</v>
      </c>
      <c r="B354" s="35" t="s">
        <v>124</v>
      </c>
      <c r="C354" s="35">
        <v>48.825000000000003</v>
      </c>
      <c r="D354" s="36">
        <v>43.68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x14ac:dyDescent="0.25">
      <c r="A355" s="35" t="s">
        <v>13</v>
      </c>
      <c r="B355" s="35" t="s">
        <v>125</v>
      </c>
      <c r="C355" s="35">
        <v>85.456999999999994</v>
      </c>
      <c r="D355" s="36">
        <v>76.45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x14ac:dyDescent="0.25">
      <c r="A356" s="35" t="s">
        <v>13</v>
      </c>
      <c r="B356" s="35" t="s">
        <v>126</v>
      </c>
      <c r="C356" s="35">
        <v>35.659999999999997</v>
      </c>
      <c r="D356" s="36">
        <v>31.9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x14ac:dyDescent="0.25">
      <c r="A357" s="35" t="s">
        <v>13</v>
      </c>
      <c r="B357" s="35" t="s">
        <v>127</v>
      </c>
      <c r="C357" s="35">
        <v>4.2389999999999999</v>
      </c>
      <c r="D357" s="36">
        <v>3.79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x14ac:dyDescent="0.25">
      <c r="A358" s="35" t="s">
        <v>13</v>
      </c>
      <c r="B358" s="35" t="s">
        <v>128</v>
      </c>
      <c r="C358" s="35">
        <v>229.02</v>
      </c>
      <c r="D358" s="36">
        <v>204.88</v>
      </c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x14ac:dyDescent="0.25">
      <c r="A359" s="35" t="s">
        <v>13</v>
      </c>
      <c r="B359" s="35" t="s">
        <v>129</v>
      </c>
      <c r="C359" s="35">
        <v>3.0049999999999999</v>
      </c>
      <c r="D359" s="36">
        <v>2.69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x14ac:dyDescent="0.25">
      <c r="A360" s="35" t="s">
        <v>13</v>
      </c>
      <c r="B360" s="35" t="s">
        <v>130</v>
      </c>
      <c r="C360" s="35">
        <v>838.79700000000003</v>
      </c>
      <c r="D360" s="36">
        <v>750.38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x14ac:dyDescent="0.25">
      <c r="A361" s="35" t="s">
        <v>13</v>
      </c>
      <c r="B361" s="35" t="s">
        <v>131</v>
      </c>
      <c r="C361" s="35">
        <v>6.54</v>
      </c>
      <c r="D361" s="36">
        <v>5.85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x14ac:dyDescent="0.25">
      <c r="A362" s="35" t="s">
        <v>13</v>
      </c>
      <c r="B362" s="35" t="s">
        <v>132</v>
      </c>
      <c r="C362" s="35">
        <v>8.9999999999999993E-3</v>
      </c>
      <c r="D362" s="36">
        <v>0.01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x14ac:dyDescent="0.25">
      <c r="A363" s="35" t="s">
        <v>13</v>
      </c>
      <c r="B363" s="35" t="s">
        <v>133</v>
      </c>
      <c r="C363" s="35">
        <v>46.329000000000001</v>
      </c>
      <c r="D363" s="36">
        <v>41.45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x14ac:dyDescent="0.25">
      <c r="A364" s="35" t="s">
        <v>13</v>
      </c>
      <c r="B364" s="35" t="s">
        <v>134</v>
      </c>
      <c r="C364" s="35">
        <v>115.23</v>
      </c>
      <c r="D364" s="36">
        <v>103.08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x14ac:dyDescent="0.25">
      <c r="A365" s="35" t="s">
        <v>13</v>
      </c>
      <c r="B365" s="35" t="s">
        <v>135</v>
      </c>
      <c r="C365" s="35">
        <v>0</v>
      </c>
      <c r="D365" s="36">
        <v>0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x14ac:dyDescent="0.25">
      <c r="A366" s="35" t="s">
        <v>13</v>
      </c>
      <c r="B366" s="35" t="s">
        <v>136</v>
      </c>
      <c r="C366" s="35">
        <v>8.2189999999999994</v>
      </c>
      <c r="D366" s="36">
        <v>7.35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x14ac:dyDescent="0.25">
      <c r="A367" s="35" t="s">
        <v>13</v>
      </c>
      <c r="B367" s="35" t="s">
        <v>137</v>
      </c>
      <c r="C367" s="35">
        <v>0</v>
      </c>
      <c r="D367" s="36">
        <v>0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x14ac:dyDescent="0.25">
      <c r="A368" s="35" t="s">
        <v>13</v>
      </c>
      <c r="B368" s="35" t="s">
        <v>138</v>
      </c>
      <c r="C368" s="35">
        <v>0</v>
      </c>
      <c r="D368" s="36">
        <v>0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x14ac:dyDescent="0.25">
      <c r="A369" s="35" t="s">
        <v>13</v>
      </c>
      <c r="B369" s="35" t="s">
        <v>139</v>
      </c>
      <c r="C369" s="35">
        <v>1299.5340000000001</v>
      </c>
      <c r="D369" s="36">
        <v>1162.54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x14ac:dyDescent="0.25">
      <c r="A370" s="35" t="s">
        <v>13</v>
      </c>
      <c r="B370" s="35" t="s">
        <v>140</v>
      </c>
      <c r="C370" s="35">
        <v>2321.96</v>
      </c>
      <c r="D370" s="36">
        <v>2077.19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x14ac:dyDescent="0.25">
      <c r="A371" s="35" t="s">
        <v>13</v>
      </c>
      <c r="B371" s="35" t="s">
        <v>141</v>
      </c>
      <c r="C371" s="35">
        <v>459.4</v>
      </c>
      <c r="D371" s="36">
        <v>410.97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x14ac:dyDescent="0.25">
      <c r="A372" s="35" t="s">
        <v>13</v>
      </c>
      <c r="B372" s="35" t="s">
        <v>142</v>
      </c>
      <c r="C372" s="35">
        <v>5259.1360000000004</v>
      </c>
      <c r="D372" s="36">
        <v>4704.74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x14ac:dyDescent="0.25">
      <c r="A373" s="35" t="s">
        <v>13</v>
      </c>
      <c r="B373" s="35" t="s">
        <v>143</v>
      </c>
      <c r="C373" s="35">
        <v>2826.6179999999999</v>
      </c>
      <c r="D373" s="36">
        <v>2528.65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x14ac:dyDescent="0.25">
      <c r="A374" s="35" t="s">
        <v>13</v>
      </c>
      <c r="B374" s="35" t="s">
        <v>144</v>
      </c>
      <c r="C374" s="35">
        <v>710.57600000000002</v>
      </c>
      <c r="D374" s="36">
        <v>635.66999999999996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x14ac:dyDescent="0.25">
      <c r="A375" s="35" t="s">
        <v>13</v>
      </c>
      <c r="B375" s="35" t="s">
        <v>691</v>
      </c>
      <c r="C375" s="35">
        <v>968.06399999999996</v>
      </c>
      <c r="D375" s="36">
        <v>866.02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x14ac:dyDescent="0.25">
      <c r="A376" s="35" t="s">
        <v>13</v>
      </c>
      <c r="B376" s="35" t="s">
        <v>145</v>
      </c>
      <c r="C376" s="35">
        <v>966.822</v>
      </c>
      <c r="D376" s="36">
        <v>864.9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x14ac:dyDescent="0.25">
      <c r="A377" s="35" t="s">
        <v>13</v>
      </c>
      <c r="B377" s="35" t="s">
        <v>146</v>
      </c>
      <c r="C377" s="35">
        <v>344.69799999999998</v>
      </c>
      <c r="D377" s="36">
        <v>308.36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x14ac:dyDescent="0.25">
      <c r="A378" s="35" t="s">
        <v>13</v>
      </c>
      <c r="B378" s="35" t="s">
        <v>147</v>
      </c>
      <c r="C378" s="35">
        <v>4794.018</v>
      </c>
      <c r="D378" s="36">
        <v>4288.66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x14ac:dyDescent="0.25">
      <c r="A379" s="35" t="s">
        <v>13</v>
      </c>
      <c r="B379" s="35" t="s">
        <v>148</v>
      </c>
      <c r="C379" s="35">
        <v>914.26700000000005</v>
      </c>
      <c r="D379" s="36">
        <v>817.89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x14ac:dyDescent="0.25">
      <c r="A380" s="35" t="s">
        <v>12</v>
      </c>
      <c r="B380" s="35" t="s">
        <v>149</v>
      </c>
      <c r="C380" s="35">
        <v>807127.36320000002</v>
      </c>
      <c r="D380" s="36">
        <v>586701.81999999995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x14ac:dyDescent="0.25">
      <c r="A381" s="35" t="s">
        <v>11</v>
      </c>
      <c r="B381" s="35" t="s">
        <v>150</v>
      </c>
      <c r="C381" s="35">
        <v>2494.5297999999998</v>
      </c>
      <c r="D381" s="36">
        <v>6826.44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x14ac:dyDescent="0.25">
      <c r="A382" s="35" t="s">
        <v>11</v>
      </c>
      <c r="B382" s="35" t="s">
        <v>151</v>
      </c>
      <c r="C382" s="35">
        <v>1018.0323</v>
      </c>
      <c r="D382" s="36">
        <v>2785.91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x14ac:dyDescent="0.25">
      <c r="A383" s="35" t="s">
        <v>11</v>
      </c>
      <c r="B383" s="35" t="s">
        <v>152</v>
      </c>
      <c r="C383" s="35">
        <v>3</v>
      </c>
      <c r="D383" s="36">
        <v>8.2100000000000009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x14ac:dyDescent="0.25">
      <c r="A384" s="35" t="s">
        <v>11</v>
      </c>
      <c r="B384" s="35" t="s">
        <v>153</v>
      </c>
      <c r="C384" s="35">
        <v>0</v>
      </c>
      <c r="D384" s="36">
        <v>0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x14ac:dyDescent="0.25">
      <c r="A385" s="35" t="s">
        <v>11</v>
      </c>
      <c r="B385" s="35" t="s">
        <v>167</v>
      </c>
      <c r="C385" s="35">
        <v>152.33189999999999</v>
      </c>
      <c r="D385" s="36">
        <v>416.87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x14ac:dyDescent="0.25">
      <c r="A386" s="35" t="s">
        <v>11</v>
      </c>
      <c r="B386" s="35" t="s">
        <v>154</v>
      </c>
      <c r="C386" s="35">
        <v>1.65</v>
      </c>
      <c r="D386" s="36">
        <v>4.5199999999999996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x14ac:dyDescent="0.25">
      <c r="A387" s="35" t="s">
        <v>11</v>
      </c>
      <c r="B387" s="35" t="s">
        <v>155</v>
      </c>
      <c r="C387" s="35">
        <v>637.08069999999998</v>
      </c>
      <c r="D387" s="36">
        <v>1743.41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x14ac:dyDescent="0.25">
      <c r="A388" s="35" t="s">
        <v>11</v>
      </c>
      <c r="B388" s="35" t="s">
        <v>168</v>
      </c>
      <c r="C388" s="35">
        <v>26.331</v>
      </c>
      <c r="D388" s="36">
        <v>72.06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x14ac:dyDescent="0.25">
      <c r="A389" s="35" t="s">
        <v>11</v>
      </c>
      <c r="B389" s="35" t="s">
        <v>169</v>
      </c>
      <c r="C389" s="35">
        <v>25.8048</v>
      </c>
      <c r="D389" s="36">
        <v>70.62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x14ac:dyDescent="0.25">
      <c r="A390" s="35" t="s">
        <v>11</v>
      </c>
      <c r="B390" s="35" t="s">
        <v>170</v>
      </c>
      <c r="C390" s="35">
        <v>0</v>
      </c>
      <c r="D390" s="36">
        <v>0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x14ac:dyDescent="0.25">
      <c r="A391" s="35" t="s">
        <v>11</v>
      </c>
      <c r="B391" s="35" t="s">
        <v>171</v>
      </c>
      <c r="C391" s="35">
        <v>254.96</v>
      </c>
      <c r="D391" s="36">
        <v>697.71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x14ac:dyDescent="0.25">
      <c r="A392" s="35" t="s">
        <v>11</v>
      </c>
      <c r="B392" s="35" t="s">
        <v>156</v>
      </c>
      <c r="C392" s="35">
        <v>3381.6048000000001</v>
      </c>
      <c r="D392" s="36">
        <v>9253.98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x14ac:dyDescent="0.25">
      <c r="A393" s="35" t="s">
        <v>11</v>
      </c>
      <c r="B393" s="35" t="s">
        <v>157</v>
      </c>
      <c r="C393" s="35">
        <v>469.55900000000003</v>
      </c>
      <c r="D393" s="36">
        <v>1284.98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x14ac:dyDescent="0.25">
      <c r="A394" s="35" t="s">
        <v>11</v>
      </c>
      <c r="B394" s="35" t="s">
        <v>443</v>
      </c>
      <c r="C394" s="35">
        <v>1344.3320000000001</v>
      </c>
      <c r="D394" s="36">
        <v>3678.85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x14ac:dyDescent="0.25">
      <c r="A395" s="35" t="s">
        <v>11</v>
      </c>
      <c r="B395" s="35" t="s">
        <v>158</v>
      </c>
      <c r="C395" s="35">
        <v>6657.4530000000004</v>
      </c>
      <c r="D395" s="36">
        <v>18218.55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x14ac:dyDescent="0.25">
      <c r="A396" s="35" t="s">
        <v>11</v>
      </c>
      <c r="B396" s="35" t="s">
        <v>367</v>
      </c>
      <c r="C396" s="35">
        <v>7221.6</v>
      </c>
      <c r="D396" s="36">
        <v>19762.37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x14ac:dyDescent="0.25">
      <c r="A397" s="35" t="s">
        <v>11</v>
      </c>
      <c r="B397" s="35" t="s">
        <v>506</v>
      </c>
      <c r="C397" s="35">
        <v>42.207999999999998</v>
      </c>
      <c r="D397" s="36">
        <v>115.5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x14ac:dyDescent="0.25">
      <c r="A398" s="35" t="s">
        <v>11</v>
      </c>
      <c r="B398" s="35" t="s">
        <v>580</v>
      </c>
      <c r="C398" s="35">
        <v>572.37400000000002</v>
      </c>
      <c r="D398" s="36">
        <v>1566.34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x14ac:dyDescent="0.25">
      <c r="A399" s="35" t="s">
        <v>11</v>
      </c>
      <c r="B399" s="35" t="s">
        <v>687</v>
      </c>
      <c r="C399" s="35">
        <v>81.212000000000003</v>
      </c>
      <c r="D399" s="36">
        <v>222.24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x14ac:dyDescent="0.25">
      <c r="A400" s="35" t="s">
        <v>11</v>
      </c>
      <c r="B400" s="35" t="s">
        <v>159</v>
      </c>
      <c r="C400" s="35">
        <v>199539.04199999999</v>
      </c>
      <c r="D400" s="36">
        <v>546051.35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x14ac:dyDescent="0.25">
      <c r="A401" s="35" t="s">
        <v>11</v>
      </c>
      <c r="B401" s="35" t="s">
        <v>160</v>
      </c>
      <c r="C401" s="35">
        <v>139675.60140000001</v>
      </c>
      <c r="D401" s="36">
        <v>382231.22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x14ac:dyDescent="0.25">
      <c r="A402" s="35" t="s">
        <v>11</v>
      </c>
      <c r="B402" s="35" t="s">
        <v>161</v>
      </c>
      <c r="C402" s="35">
        <v>78823.804799999998</v>
      </c>
      <c r="D402" s="36">
        <v>215706.38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x14ac:dyDescent="0.25">
      <c r="A403" s="35" t="s">
        <v>11</v>
      </c>
      <c r="B403" s="35" t="s">
        <v>162</v>
      </c>
      <c r="C403" s="35">
        <v>53700.130799999999</v>
      </c>
      <c r="D403" s="36">
        <v>146953.84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x14ac:dyDescent="0.25">
      <c r="A404" s="35" t="s">
        <v>11</v>
      </c>
      <c r="B404" s="35" t="s">
        <v>163</v>
      </c>
      <c r="C404" s="35">
        <v>11452.0116</v>
      </c>
      <c r="D404" s="36">
        <v>31339.16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x14ac:dyDescent="0.25">
      <c r="A405" s="35" t="s">
        <v>11</v>
      </c>
      <c r="B405" s="35" t="s">
        <v>164</v>
      </c>
      <c r="C405" s="35">
        <v>3442.8307</v>
      </c>
      <c r="D405" s="36">
        <v>9421.5300000000007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x14ac:dyDescent="0.25">
      <c r="A406" s="35" t="s">
        <v>11</v>
      </c>
      <c r="B406" s="35" t="s">
        <v>165</v>
      </c>
      <c r="C406" s="35">
        <v>10778.5031</v>
      </c>
      <c r="D406" s="36">
        <v>29496.06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x14ac:dyDescent="0.25">
      <c r="A407" s="35" t="s">
        <v>11</v>
      </c>
      <c r="B407" s="35" t="s">
        <v>166</v>
      </c>
      <c r="C407" s="35">
        <v>2179.4706000000001</v>
      </c>
      <c r="D407" s="36">
        <v>5964.26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x14ac:dyDescent="0.25">
      <c r="A408" s="35" t="s">
        <v>11</v>
      </c>
      <c r="B408" s="35" t="s">
        <v>172</v>
      </c>
      <c r="C408" s="35">
        <v>563.79309999999998</v>
      </c>
      <c r="D408" s="36">
        <v>1542.86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x14ac:dyDescent="0.25">
      <c r="A409" s="35" t="s">
        <v>11</v>
      </c>
      <c r="B409" s="35" t="s">
        <v>173</v>
      </c>
      <c r="C409" s="35">
        <v>339.41419999999999</v>
      </c>
      <c r="D409" s="36">
        <v>928.83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x14ac:dyDescent="0.25">
      <c r="A410" s="35" t="s">
        <v>11</v>
      </c>
      <c r="B410" s="35" t="s">
        <v>174</v>
      </c>
      <c r="C410" s="35">
        <v>191.07210000000001</v>
      </c>
      <c r="D410" s="36">
        <v>522.88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x14ac:dyDescent="0.25">
      <c r="A411" s="35" t="s">
        <v>11</v>
      </c>
      <c r="B411" s="35" t="s">
        <v>175</v>
      </c>
      <c r="C411" s="35">
        <v>893.84460000000001</v>
      </c>
      <c r="D411" s="36">
        <v>2446.06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x14ac:dyDescent="0.25">
      <c r="A412" s="35" t="s">
        <v>11</v>
      </c>
      <c r="B412" s="35" t="s">
        <v>176</v>
      </c>
      <c r="C412" s="35">
        <v>0</v>
      </c>
      <c r="D412" s="36">
        <v>0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x14ac:dyDescent="0.25">
      <c r="A413" s="35" t="s">
        <v>11</v>
      </c>
      <c r="B413" s="35" t="s">
        <v>177</v>
      </c>
      <c r="C413" s="35">
        <v>389.16129999999998</v>
      </c>
      <c r="D413" s="36">
        <v>1064.96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x14ac:dyDescent="0.25">
      <c r="A414" s="35" t="s">
        <v>11</v>
      </c>
      <c r="B414" s="35" t="s">
        <v>178</v>
      </c>
      <c r="C414" s="35">
        <v>30.2883</v>
      </c>
      <c r="D414" s="36">
        <v>82.89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x14ac:dyDescent="0.25">
      <c r="A415" s="35" t="s">
        <v>11</v>
      </c>
      <c r="B415" s="35" t="s">
        <v>179</v>
      </c>
      <c r="C415" s="35">
        <v>330.82760000000002</v>
      </c>
      <c r="D415" s="36">
        <v>905.33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x14ac:dyDescent="0.25">
      <c r="A416" s="35" t="s">
        <v>11</v>
      </c>
      <c r="B416" s="35" t="s">
        <v>180</v>
      </c>
      <c r="C416" s="35">
        <v>15.4414</v>
      </c>
      <c r="D416" s="36">
        <v>42.26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x14ac:dyDescent="0.25">
      <c r="A417" s="35" t="s">
        <v>11</v>
      </c>
      <c r="B417" s="35" t="s">
        <v>181</v>
      </c>
      <c r="C417" s="35">
        <v>33.873699999999999</v>
      </c>
      <c r="D417" s="36">
        <v>92.7</v>
      </c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x14ac:dyDescent="0.25">
      <c r="A418" s="35" t="s">
        <v>11</v>
      </c>
      <c r="B418" s="35" t="s">
        <v>368</v>
      </c>
      <c r="C418" s="35">
        <v>221.08789999999999</v>
      </c>
      <c r="D418" s="36">
        <v>605.02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x14ac:dyDescent="0.25">
      <c r="A419" s="35" t="s">
        <v>11</v>
      </c>
      <c r="B419" s="35" t="s">
        <v>507</v>
      </c>
      <c r="C419" s="35">
        <v>0</v>
      </c>
      <c r="D419" s="36">
        <v>0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x14ac:dyDescent="0.25">
      <c r="A420" s="35" t="s">
        <v>11</v>
      </c>
      <c r="B420" s="35" t="s">
        <v>508</v>
      </c>
      <c r="C420" s="35">
        <v>29.664000000000001</v>
      </c>
      <c r="D420" s="36">
        <v>81.180000000000007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x14ac:dyDescent="0.25">
      <c r="A421" s="35" t="s">
        <v>11</v>
      </c>
      <c r="B421" s="35" t="s">
        <v>182</v>
      </c>
      <c r="C421" s="35">
        <v>22454.809000000001</v>
      </c>
      <c r="D421" s="36">
        <v>61449.02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x14ac:dyDescent="0.25">
      <c r="A422" s="35" t="s">
        <v>11</v>
      </c>
      <c r="B422" s="35" t="s">
        <v>183</v>
      </c>
      <c r="C422" s="35">
        <v>6296.4907999999996</v>
      </c>
      <c r="D422" s="36">
        <v>17230.75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x14ac:dyDescent="0.25">
      <c r="A423" s="35" t="s">
        <v>10</v>
      </c>
      <c r="B423" s="35" t="s">
        <v>184</v>
      </c>
      <c r="C423" s="37">
        <v>3.932999139191976E-3</v>
      </c>
      <c r="D423" s="36">
        <v>3277.4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x14ac:dyDescent="0.25">
      <c r="A424" s="35" t="s">
        <v>10</v>
      </c>
      <c r="B424" s="35" t="s">
        <v>185</v>
      </c>
      <c r="C424" s="37">
        <v>1.3406050024038867E-2</v>
      </c>
      <c r="D424" s="36">
        <v>11171.37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x14ac:dyDescent="0.25">
      <c r="A425" s="35" t="s">
        <v>10</v>
      </c>
      <c r="B425" s="35" t="s">
        <v>186</v>
      </c>
      <c r="C425" s="37">
        <v>1.328131858124419E-2</v>
      </c>
      <c r="D425" s="36">
        <v>11067.43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x14ac:dyDescent="0.25">
      <c r="A426" s="35" t="s">
        <v>10</v>
      </c>
      <c r="B426" t="s">
        <v>187</v>
      </c>
      <c r="C426" s="37">
        <v>7.9321619546391692E-2</v>
      </c>
      <c r="D426" s="281">
        <v>66099.320000000007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x14ac:dyDescent="0.25">
      <c r="A427" s="35" t="s">
        <v>10</v>
      </c>
      <c r="B427" s="35" t="s">
        <v>188</v>
      </c>
      <c r="C427" s="37">
        <v>4.7906379140744372E-3</v>
      </c>
      <c r="D427" s="36">
        <v>3992.08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x14ac:dyDescent="0.25">
      <c r="A428" s="35" t="s">
        <v>10</v>
      </c>
      <c r="B428" s="35" t="s">
        <v>189</v>
      </c>
      <c r="C428" s="37">
        <v>1.564236977766461E-2</v>
      </c>
      <c r="D428" s="36">
        <v>13034.91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x14ac:dyDescent="0.25">
      <c r="A429" s="35" t="s">
        <v>10</v>
      </c>
      <c r="B429" s="35" t="s">
        <v>190</v>
      </c>
      <c r="C429" s="37">
        <v>3.1545563686169384E-2</v>
      </c>
      <c r="D429" s="36">
        <v>26287.16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x14ac:dyDescent="0.25">
      <c r="A430" s="35" t="s">
        <v>10</v>
      </c>
      <c r="B430" s="35" t="s">
        <v>191</v>
      </c>
      <c r="C430" s="37">
        <v>2.2702056186638384E-2</v>
      </c>
      <c r="D430" s="36">
        <v>18917.8</v>
      </c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x14ac:dyDescent="0.25">
      <c r="A431" s="35" t="s">
        <v>10</v>
      </c>
      <c r="B431" s="35" t="s">
        <v>192</v>
      </c>
      <c r="C431" s="37">
        <v>7.9976787472845166E-3</v>
      </c>
      <c r="D431" s="36">
        <v>6664.53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x14ac:dyDescent="0.25">
      <c r="A432" s="35" t="s">
        <v>10</v>
      </c>
      <c r="B432" s="35" t="s">
        <v>709</v>
      </c>
      <c r="C432" s="37">
        <v>1.0644912768341878E-8</v>
      </c>
      <c r="D432" s="36">
        <v>0.01</v>
      </c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x14ac:dyDescent="0.25">
      <c r="A433" s="35" t="s">
        <v>10</v>
      </c>
      <c r="B433" s="35" t="s">
        <v>193</v>
      </c>
      <c r="C433" s="37">
        <v>3.1365962006575765E-2</v>
      </c>
      <c r="D433" s="36">
        <v>26137.5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x14ac:dyDescent="0.25">
      <c r="A434" s="35" t="s">
        <v>10</v>
      </c>
      <c r="B434" s="35" t="s">
        <v>194</v>
      </c>
      <c r="C434" s="37">
        <v>3.8176710379858613E-3</v>
      </c>
      <c r="D434" s="36">
        <v>3181.29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x14ac:dyDescent="0.25">
      <c r="A435" s="35" t="s">
        <v>10</v>
      </c>
      <c r="B435" s="35" t="s">
        <v>195</v>
      </c>
      <c r="C435" s="37">
        <v>5.7944391626310867E-3</v>
      </c>
      <c r="D435" s="36">
        <v>4828.55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x14ac:dyDescent="0.25">
      <c r="A436" s="35" t="s">
        <v>10</v>
      </c>
      <c r="B436" s="35" t="s">
        <v>369</v>
      </c>
      <c r="C436" s="37">
        <v>3.498296943975101E-6</v>
      </c>
      <c r="D436" s="36">
        <v>2.92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x14ac:dyDescent="0.25">
      <c r="A437" s="35" t="s">
        <v>10</v>
      </c>
      <c r="B437" s="35" t="s">
        <v>196</v>
      </c>
      <c r="C437" s="37">
        <v>3.8109826107051485E-2</v>
      </c>
      <c r="D437" s="36">
        <v>31757.21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x14ac:dyDescent="0.25">
      <c r="A438" s="35" t="s">
        <v>10</v>
      </c>
      <c r="B438" s="35" t="s">
        <v>197</v>
      </c>
      <c r="C438" s="37">
        <v>9.3339441357116488E-3</v>
      </c>
      <c r="D438" s="36">
        <v>7778.05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x14ac:dyDescent="0.25">
      <c r="A439" s="35" t="s">
        <v>10</v>
      </c>
      <c r="B439" s="35" t="s">
        <v>198</v>
      </c>
      <c r="C439" s="37">
        <v>8.3128752718834627E-3</v>
      </c>
      <c r="D439" s="36">
        <v>6927.18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x14ac:dyDescent="0.25">
      <c r="A440" s="35" t="s">
        <v>10</v>
      </c>
      <c r="B440" s="35" t="s">
        <v>199</v>
      </c>
      <c r="C440" s="37">
        <v>4.6192892720085419E-3</v>
      </c>
      <c r="D440" s="36">
        <v>3849.29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x14ac:dyDescent="0.25">
      <c r="A441" s="35" t="s">
        <v>10</v>
      </c>
      <c r="B441" s="35" t="s">
        <v>200</v>
      </c>
      <c r="C441" s="37">
        <v>0.15029977933601288</v>
      </c>
      <c r="D441" s="36">
        <v>125245.97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x14ac:dyDescent="0.25">
      <c r="A442" s="35" t="s">
        <v>10</v>
      </c>
      <c r="B442" s="35" t="s">
        <v>201</v>
      </c>
      <c r="C442" s="37">
        <v>0.12619651741354995</v>
      </c>
      <c r="D442" s="36">
        <v>105160.53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x14ac:dyDescent="0.25">
      <c r="A443" s="35" t="s">
        <v>10</v>
      </c>
      <c r="B443" s="35" t="s">
        <v>202</v>
      </c>
      <c r="C443" s="37">
        <v>0.33904614823763768</v>
      </c>
      <c r="D443" s="36">
        <v>282529.76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x14ac:dyDescent="0.25">
      <c r="A444" s="35" t="s">
        <v>10</v>
      </c>
      <c r="B444" s="35" t="s">
        <v>203</v>
      </c>
      <c r="C444" s="37">
        <v>7.6821249596710874E-4</v>
      </c>
      <c r="D444" s="36">
        <v>640.16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x14ac:dyDescent="0.25">
      <c r="A445" s="35" t="s">
        <v>10</v>
      </c>
      <c r="B445" s="35" t="s">
        <v>204</v>
      </c>
      <c r="C445" s="37">
        <v>1.0743595697898859E-7</v>
      </c>
      <c r="D445" s="36">
        <v>0.09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x14ac:dyDescent="0.25">
      <c r="A446" s="35" t="s">
        <v>10</v>
      </c>
      <c r="B446" s="35" t="s">
        <v>205</v>
      </c>
      <c r="C446" s="37">
        <v>1.4918418877811421E-8</v>
      </c>
      <c r="D446" s="36">
        <v>0.01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x14ac:dyDescent="0.25">
      <c r="A447" s="35" t="s">
        <v>10</v>
      </c>
      <c r="B447" s="35" t="s">
        <v>444</v>
      </c>
      <c r="C447" s="37">
        <v>2.5890273153195742E-7</v>
      </c>
      <c r="D447" s="36">
        <v>0.22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x14ac:dyDescent="0.25">
      <c r="A448" s="35" t="s">
        <v>10</v>
      </c>
      <c r="B448" s="35" t="s">
        <v>206</v>
      </c>
      <c r="C448" s="37">
        <v>3.4612501304517878E-7</v>
      </c>
      <c r="D448" s="36">
        <v>0.28999999999999998</v>
      </c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x14ac:dyDescent="0.25">
      <c r="A449" s="35" t="s">
        <v>10</v>
      </c>
      <c r="B449" s="35" t="s">
        <v>207</v>
      </c>
      <c r="C449" s="37">
        <v>8.1221774804819346E-7</v>
      </c>
      <c r="D449" s="36">
        <v>0.68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x14ac:dyDescent="0.25">
      <c r="A450" s="35" t="s">
        <v>10</v>
      </c>
      <c r="B450" s="35" t="s">
        <v>208</v>
      </c>
      <c r="C450" s="37">
        <v>2.8304435170322132E-5</v>
      </c>
      <c r="D450" s="36">
        <v>23.59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x14ac:dyDescent="0.25">
      <c r="A451" s="35" t="s">
        <v>10</v>
      </c>
      <c r="B451" s="35" t="s">
        <v>209</v>
      </c>
      <c r="C451" s="37">
        <v>5.6199003685250205E-9</v>
      </c>
      <c r="D451" s="36">
        <v>0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x14ac:dyDescent="0.25">
      <c r="A452" s="35" t="s">
        <v>10</v>
      </c>
      <c r="B452" s="35" t="s">
        <v>210</v>
      </c>
      <c r="C452" s="37">
        <v>4.5648357900004026E-9</v>
      </c>
      <c r="D452" s="36">
        <v>0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x14ac:dyDescent="0.25">
      <c r="A453" s="35" t="s">
        <v>10</v>
      </c>
      <c r="B453" s="35" t="s">
        <v>211</v>
      </c>
      <c r="C453" s="37">
        <v>7.4084401804141014E-8</v>
      </c>
      <c r="D453" s="36">
        <v>0.06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x14ac:dyDescent="0.25">
      <c r="A454" s="35" t="s">
        <v>10</v>
      </c>
      <c r="B454" s="35" t="s">
        <v>212</v>
      </c>
      <c r="C454" s="37">
        <v>2.5258052290653166E-7</v>
      </c>
      <c r="D454" s="36">
        <v>0.21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x14ac:dyDescent="0.25">
      <c r="A455" s="35" t="s">
        <v>10</v>
      </c>
      <c r="B455" s="35" t="s">
        <v>213</v>
      </c>
      <c r="C455" s="37">
        <v>7.3484106908860223E-8</v>
      </c>
      <c r="D455" s="36">
        <v>0.06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x14ac:dyDescent="0.25">
      <c r="A456" s="35" t="s">
        <v>10</v>
      </c>
      <c r="B456" s="35" t="s">
        <v>214</v>
      </c>
      <c r="C456" s="37">
        <v>7.830025069138423E-7</v>
      </c>
      <c r="D456" s="36">
        <v>0.65</v>
      </c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x14ac:dyDescent="0.25">
      <c r="A457" s="35" t="s">
        <v>10</v>
      </c>
      <c r="B457" s="35" t="s">
        <v>215</v>
      </c>
      <c r="C457" s="37">
        <v>2.7036632209122312E-6</v>
      </c>
      <c r="D457" s="36">
        <v>2.25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x14ac:dyDescent="0.25">
      <c r="A458" s="35" t="s">
        <v>10</v>
      </c>
      <c r="B458" s="35" t="s">
        <v>216</v>
      </c>
      <c r="C458" s="37">
        <v>5.2026455847830238E-8</v>
      </c>
      <c r="D458" s="36">
        <v>0.04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x14ac:dyDescent="0.25">
      <c r="A459" s="35" t="s">
        <v>10</v>
      </c>
      <c r="B459" s="35" t="s">
        <v>217</v>
      </c>
      <c r="C459" s="37">
        <v>2.5315536526000422E-7</v>
      </c>
      <c r="D459" s="36">
        <v>0.21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x14ac:dyDescent="0.25">
      <c r="A460" s="35" t="s">
        <v>10</v>
      </c>
      <c r="B460" s="35" t="s">
        <v>218</v>
      </c>
      <c r="C460" s="37">
        <v>5.3304427928559007E-8</v>
      </c>
      <c r="D460" s="36">
        <v>0.04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x14ac:dyDescent="0.25">
      <c r="A461" s="35" t="s">
        <v>10</v>
      </c>
      <c r="B461" s="35" t="s">
        <v>219</v>
      </c>
      <c r="C461" s="37">
        <v>9.5423255864515474E-8</v>
      </c>
      <c r="D461" s="36">
        <v>0.08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x14ac:dyDescent="0.25">
      <c r="A462" s="35" t="s">
        <v>10</v>
      </c>
      <c r="B462" s="35" t="s">
        <v>220</v>
      </c>
      <c r="C462" s="37">
        <v>2.3442922157049426E-8</v>
      </c>
      <c r="D462" s="36">
        <v>0.02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x14ac:dyDescent="0.25">
      <c r="A463" s="35" t="s">
        <v>10</v>
      </c>
      <c r="B463" s="35" t="s">
        <v>221</v>
      </c>
      <c r="C463" s="37">
        <v>2.1107224411948667E-8</v>
      </c>
      <c r="D463" s="36">
        <v>0.02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x14ac:dyDescent="0.25">
      <c r="A464" s="35" t="s">
        <v>10</v>
      </c>
      <c r="B464" s="35" t="s">
        <v>222</v>
      </c>
      <c r="C464" s="37">
        <v>1.1651758340920312E-7</v>
      </c>
      <c r="D464" s="36">
        <v>0.1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x14ac:dyDescent="0.25">
      <c r="A465" s="35" t="s">
        <v>10</v>
      </c>
      <c r="B465" s="35" t="s">
        <v>223</v>
      </c>
      <c r="C465" s="37">
        <v>8.2115457696306012E-6</v>
      </c>
      <c r="D465" s="36">
        <v>6.84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x14ac:dyDescent="0.25">
      <c r="A466" s="35" t="s">
        <v>10</v>
      </c>
      <c r="B466" s="35" t="s">
        <v>224</v>
      </c>
      <c r="C466" s="37">
        <v>2.9105151067503271E-6</v>
      </c>
      <c r="D466" s="36">
        <v>2.4300000000000002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x14ac:dyDescent="0.25">
      <c r="A467" s="35" t="s">
        <v>10</v>
      </c>
      <c r="B467" s="35" t="s">
        <v>225</v>
      </c>
      <c r="C467" s="37">
        <v>2.287160760584533E-6</v>
      </c>
      <c r="D467" s="36">
        <v>1.91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x14ac:dyDescent="0.25">
      <c r="A468" s="35" t="s">
        <v>10</v>
      </c>
      <c r="B468" s="35" t="s">
        <v>437</v>
      </c>
      <c r="C468" s="37">
        <v>8.7628937590815982E-8</v>
      </c>
      <c r="D468" s="36">
        <v>7.0000000000000007E-2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x14ac:dyDescent="0.25">
      <c r="A469" s="35" t="s">
        <v>10</v>
      </c>
      <c r="B469" s="35" t="s">
        <v>558</v>
      </c>
      <c r="C469" s="37">
        <v>6.8195078717832604E-8</v>
      </c>
      <c r="D469" s="36">
        <v>0.06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x14ac:dyDescent="0.25">
      <c r="A470" s="35" t="s">
        <v>10</v>
      </c>
      <c r="B470" s="35" t="s">
        <v>226</v>
      </c>
      <c r="C470" s="37">
        <v>1.3910203101372834E-8</v>
      </c>
      <c r="D470" s="36">
        <v>0.01</v>
      </c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x14ac:dyDescent="0.25">
      <c r="A471" s="35" t="s">
        <v>10</v>
      </c>
      <c r="B471" s="35" t="s">
        <v>227</v>
      </c>
      <c r="C471" s="37">
        <v>2.0011917565413932E-8</v>
      </c>
      <c r="D471" s="36">
        <v>0.02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x14ac:dyDescent="0.25">
      <c r="A472" s="35" t="s">
        <v>10</v>
      </c>
      <c r="B472" s="35" t="s">
        <v>228</v>
      </c>
      <c r="C472" s="37">
        <v>4.2965779084882759E-6</v>
      </c>
      <c r="D472" s="36">
        <v>3.58</v>
      </c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x14ac:dyDescent="0.25">
      <c r="A473" s="35" t="s">
        <v>10</v>
      </c>
      <c r="B473" s="35" t="s">
        <v>229</v>
      </c>
      <c r="C473" s="37">
        <v>1.9643929270981471E-8</v>
      </c>
      <c r="D473" s="36">
        <v>0.02</v>
      </c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x14ac:dyDescent="0.25">
      <c r="A474" s="35" t="s">
        <v>10</v>
      </c>
      <c r="B474" s="35" t="s">
        <v>230</v>
      </c>
      <c r="C474" s="37">
        <v>1.1194953932109211E-6</v>
      </c>
      <c r="D474" s="36">
        <v>0.93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x14ac:dyDescent="0.25">
      <c r="A475" s="35" t="s">
        <v>10</v>
      </c>
      <c r="B475" s="35" t="s">
        <v>231</v>
      </c>
      <c r="C475" s="37">
        <v>3.3714096588388634E-6</v>
      </c>
      <c r="D475" s="36">
        <v>2.81</v>
      </c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x14ac:dyDescent="0.25">
      <c r="A476" s="35" t="s">
        <v>10</v>
      </c>
      <c r="B476" s="35" t="s">
        <v>480</v>
      </c>
      <c r="C476" s="37">
        <v>9.4045859792348168E-8</v>
      </c>
      <c r="D476" s="36">
        <v>0.08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x14ac:dyDescent="0.25">
      <c r="A477" s="35" t="s">
        <v>10</v>
      </c>
      <c r="B477" s="35" t="s">
        <v>232</v>
      </c>
      <c r="C477" s="37">
        <v>9.8874787435629255E-8</v>
      </c>
      <c r="D477" s="36">
        <v>0.08</v>
      </c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x14ac:dyDescent="0.25">
      <c r="A478" s="35" t="s">
        <v>10</v>
      </c>
      <c r="B478" s="35" t="s">
        <v>233</v>
      </c>
      <c r="C478" s="37">
        <v>2.1352524587546992E-7</v>
      </c>
      <c r="D478" s="36">
        <v>0.18</v>
      </c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x14ac:dyDescent="0.25">
      <c r="A479" s="35" t="s">
        <v>10</v>
      </c>
      <c r="B479" s="35" t="s">
        <v>234</v>
      </c>
      <c r="C479" s="37">
        <v>9.600466454782696E-9</v>
      </c>
      <c r="D479" s="36">
        <v>0.01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x14ac:dyDescent="0.25">
      <c r="A480" s="35" t="s">
        <v>10</v>
      </c>
      <c r="B480" s="35" t="s">
        <v>581</v>
      </c>
      <c r="C480" s="37">
        <v>7.7624058889502338E-8</v>
      </c>
      <c r="D480" s="36">
        <v>0.06</v>
      </c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x14ac:dyDescent="0.25">
      <c r="A481" s="35" t="s">
        <v>10</v>
      </c>
      <c r="B481" s="35" t="s">
        <v>235</v>
      </c>
      <c r="C481" s="37">
        <v>9.8717592128859477E-7</v>
      </c>
      <c r="D481" s="36">
        <v>0.82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x14ac:dyDescent="0.25">
      <c r="A482" s="35" t="s">
        <v>10</v>
      </c>
      <c r="B482" s="35" t="s">
        <v>236</v>
      </c>
      <c r="C482" s="37">
        <v>1.9474474388436752E-7</v>
      </c>
      <c r="D482" s="36">
        <v>0.16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x14ac:dyDescent="0.25">
      <c r="A483" s="35" t="s">
        <v>10</v>
      </c>
      <c r="B483" s="35" t="s">
        <v>237</v>
      </c>
      <c r="C483" s="37">
        <v>6.4904430279486244E-6</v>
      </c>
      <c r="D483" s="36">
        <v>5.41</v>
      </c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x14ac:dyDescent="0.25">
      <c r="A484" s="35" t="s">
        <v>10</v>
      </c>
      <c r="B484" s="35" t="s">
        <v>238</v>
      </c>
      <c r="C484" s="37">
        <v>3.4996370174761429E-6</v>
      </c>
      <c r="D484" s="36">
        <v>2.92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x14ac:dyDescent="0.25">
      <c r="A485" s="35" t="s">
        <v>10</v>
      </c>
      <c r="B485" s="35" t="s">
        <v>239</v>
      </c>
      <c r="C485" s="37">
        <v>5.2060616627367303E-7</v>
      </c>
      <c r="D485" s="36">
        <v>0.43</v>
      </c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x14ac:dyDescent="0.25">
      <c r="A486" s="35" t="s">
        <v>10</v>
      </c>
      <c r="B486" s="35" t="s">
        <v>688</v>
      </c>
      <c r="C486" s="37">
        <v>1.6977755631767762E-7</v>
      </c>
      <c r="D486" s="36">
        <v>0.14000000000000001</v>
      </c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x14ac:dyDescent="0.25">
      <c r="A487" s="35" t="s">
        <v>10</v>
      </c>
      <c r="B487" s="35" t="s">
        <v>240</v>
      </c>
      <c r="C487" s="37">
        <v>1.2887101233522772E-5</v>
      </c>
      <c r="D487" s="36">
        <v>10.74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x14ac:dyDescent="0.25">
      <c r="A488" s="35" t="s">
        <v>10</v>
      </c>
      <c r="B488" s="35" t="s">
        <v>241</v>
      </c>
      <c r="C488" s="37">
        <v>2.6484747362715574E-5</v>
      </c>
      <c r="D488" s="36">
        <v>22.07</v>
      </c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x14ac:dyDescent="0.25">
      <c r="A489" s="35" t="s">
        <v>10</v>
      </c>
      <c r="B489" s="35" t="s">
        <v>242</v>
      </c>
      <c r="C489" s="37">
        <v>1.372181306102544E-4</v>
      </c>
      <c r="D489" s="36">
        <v>114.34</v>
      </c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x14ac:dyDescent="0.25">
      <c r="A490" s="35" t="s">
        <v>10</v>
      </c>
      <c r="B490" s="35" t="s">
        <v>689</v>
      </c>
      <c r="C490" s="37">
        <v>1.1497352222649479E-5</v>
      </c>
      <c r="D490" s="36">
        <v>9.58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x14ac:dyDescent="0.25">
      <c r="A491" s="35" t="s">
        <v>10</v>
      </c>
      <c r="B491" s="35" t="s">
        <v>243</v>
      </c>
      <c r="C491" s="37">
        <v>7.446056948716129E-4</v>
      </c>
      <c r="D491" s="36">
        <v>620.49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x14ac:dyDescent="0.25">
      <c r="A492" s="35" t="s">
        <v>10</v>
      </c>
      <c r="B492" s="35" t="s">
        <v>244</v>
      </c>
      <c r="C492" s="37">
        <v>2.3012166355890771E-9</v>
      </c>
      <c r="D492" s="36">
        <v>0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x14ac:dyDescent="0.25">
      <c r="A493" s="35" t="s">
        <v>10</v>
      </c>
      <c r="B493" s="35" t="s">
        <v>245</v>
      </c>
      <c r="C493" s="37">
        <v>1.7227411233411493E-5</v>
      </c>
      <c r="D493" s="36">
        <v>14.36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x14ac:dyDescent="0.25">
      <c r="A494" s="35" t="s">
        <v>10</v>
      </c>
      <c r="B494" s="35" t="s">
        <v>582</v>
      </c>
      <c r="C494" s="37">
        <v>4.4355802547263263E-5</v>
      </c>
      <c r="D494" s="36">
        <v>36.96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x14ac:dyDescent="0.25">
      <c r="A495" s="35" t="s">
        <v>10</v>
      </c>
      <c r="B495" s="35" t="s">
        <v>246</v>
      </c>
      <c r="C495" s="37">
        <v>1.6828995989952695E-5</v>
      </c>
      <c r="D495" s="36">
        <v>14.02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x14ac:dyDescent="0.25">
      <c r="A496" s="35" t="s">
        <v>10</v>
      </c>
      <c r="B496" s="35" t="s">
        <v>247</v>
      </c>
      <c r="C496" s="37">
        <v>7.5079978411002002E-2</v>
      </c>
      <c r="D496" s="36">
        <v>62564.73</v>
      </c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x14ac:dyDescent="0.25">
      <c r="A497" s="35" t="s">
        <v>10</v>
      </c>
      <c r="B497" s="35" t="s">
        <v>248</v>
      </c>
      <c r="C497" s="37">
        <v>1.6582011082968956E-5</v>
      </c>
      <c r="D497" s="36">
        <v>13.82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x14ac:dyDescent="0.25">
      <c r="A498" s="35" t="s">
        <v>10</v>
      </c>
      <c r="B498" s="35" t="s">
        <v>249</v>
      </c>
      <c r="C498" s="37">
        <v>9.2973759483356086E-7</v>
      </c>
      <c r="D498" s="36">
        <v>0.77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x14ac:dyDescent="0.25">
      <c r="A499" s="35" t="s">
        <v>10</v>
      </c>
      <c r="B499" s="35" t="s">
        <v>710</v>
      </c>
      <c r="C499" s="37">
        <v>8.561712325398193E-4</v>
      </c>
      <c r="D499" s="36">
        <v>713.45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x14ac:dyDescent="0.25">
      <c r="A500" s="35" t="s">
        <v>10</v>
      </c>
      <c r="B500" s="35" t="s">
        <v>481</v>
      </c>
      <c r="C500" s="37">
        <v>6.6213433210565359E-5</v>
      </c>
      <c r="D500" s="36">
        <v>55.18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x14ac:dyDescent="0.25">
      <c r="A501" s="35" t="s">
        <v>10</v>
      </c>
      <c r="B501" s="35" t="s">
        <v>445</v>
      </c>
      <c r="C501" s="37">
        <v>2.1781044721275335E-5</v>
      </c>
      <c r="D501" s="36">
        <v>18.149999999999999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x14ac:dyDescent="0.25">
      <c r="A502" s="35" t="s">
        <v>10</v>
      </c>
      <c r="B502" s="35" t="s">
        <v>250</v>
      </c>
      <c r="C502" s="37">
        <v>8.7819744726297985E-5</v>
      </c>
      <c r="D502" s="36">
        <v>73.180000000000007</v>
      </c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x14ac:dyDescent="0.25">
      <c r="A503" s="35" t="s">
        <v>10</v>
      </c>
      <c r="B503" s="35" t="s">
        <v>251</v>
      </c>
      <c r="C503" s="37">
        <v>5.4933527276961458E-6</v>
      </c>
      <c r="D503" s="36">
        <v>4.58</v>
      </c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x14ac:dyDescent="0.25">
      <c r="A504" s="35" t="s">
        <v>10</v>
      </c>
      <c r="B504" s="35" t="s">
        <v>370</v>
      </c>
      <c r="C504" s="37">
        <v>1.0522644077493483E-6</v>
      </c>
      <c r="D504" s="36">
        <v>0.88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x14ac:dyDescent="0.25">
      <c r="A505" s="35" t="s">
        <v>10</v>
      </c>
      <c r="B505" s="35" t="s">
        <v>252</v>
      </c>
      <c r="C505" s="37">
        <v>9.9557196944350008E-4</v>
      </c>
      <c r="D505" s="36">
        <v>829.62</v>
      </c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x14ac:dyDescent="0.25">
      <c r="A506" s="35" t="s">
        <v>10</v>
      </c>
      <c r="B506" s="35" t="s">
        <v>253</v>
      </c>
      <c r="C506" s="37">
        <v>4.2647375512594517E-6</v>
      </c>
      <c r="D506" s="36">
        <v>3.55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x14ac:dyDescent="0.25">
      <c r="A507" s="35" t="s">
        <v>10</v>
      </c>
      <c r="B507" s="35" t="s">
        <v>254</v>
      </c>
      <c r="C507" s="37">
        <v>4.5956185297903159E-5</v>
      </c>
      <c r="D507" s="36">
        <v>38.299999999999997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x14ac:dyDescent="0.25">
      <c r="A508" s="35" t="s">
        <v>10</v>
      </c>
      <c r="B508" s="35" t="s">
        <v>509</v>
      </c>
      <c r="C508" s="37">
        <v>2.6819311205171944E-6</v>
      </c>
      <c r="D508" s="36">
        <v>2.23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x14ac:dyDescent="0.25">
      <c r="A509" s="35" t="s">
        <v>10</v>
      </c>
      <c r="B509" s="35" t="s">
        <v>255</v>
      </c>
      <c r="C509" s="37">
        <v>1.5305688975432824E-5</v>
      </c>
      <c r="D509" s="36">
        <v>12.75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x14ac:dyDescent="0.25">
      <c r="A510" s="35" t="s">
        <v>10</v>
      </c>
      <c r="B510" s="35" t="s">
        <v>559</v>
      </c>
      <c r="C510" s="37">
        <v>1.6251756430598873E-7</v>
      </c>
      <c r="D510" s="36">
        <v>0.14000000000000001</v>
      </c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x14ac:dyDescent="0.25">
      <c r="A511" s="35" t="s">
        <v>10</v>
      </c>
      <c r="B511" s="35" t="s">
        <v>256</v>
      </c>
      <c r="C511" s="37">
        <v>6.1860847884620228E-6</v>
      </c>
      <c r="D511" s="36">
        <v>5.15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x14ac:dyDescent="0.25">
      <c r="A512" s="35" t="s">
        <v>10</v>
      </c>
      <c r="B512" s="35" t="s">
        <v>257</v>
      </c>
      <c r="C512" s="37">
        <v>1.7773315225810139E-6</v>
      </c>
      <c r="D512" s="36">
        <v>1.48</v>
      </c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x14ac:dyDescent="0.25">
      <c r="A513" s="35" t="s">
        <v>10</v>
      </c>
      <c r="B513" s="35" t="s">
        <v>258</v>
      </c>
      <c r="C513" s="37">
        <v>2.1359132448580043E-4</v>
      </c>
      <c r="D513" s="36">
        <v>177.99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x14ac:dyDescent="0.25">
      <c r="A514" s="35" t="s">
        <v>10</v>
      </c>
      <c r="B514" s="35" t="s">
        <v>259</v>
      </c>
      <c r="C514" s="37">
        <v>2.0050343740833612E-3</v>
      </c>
      <c r="D514" s="36">
        <v>1670.81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x14ac:dyDescent="0.25">
      <c r="A515" s="35" t="s">
        <v>10</v>
      </c>
      <c r="B515" s="35" t="s">
        <v>510</v>
      </c>
      <c r="C515" s="37">
        <v>3.9603188540538684E-5</v>
      </c>
      <c r="D515" s="36">
        <v>33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x14ac:dyDescent="0.25">
      <c r="A516" s="35" t="s">
        <v>10</v>
      </c>
      <c r="B516" s="35" t="s">
        <v>690</v>
      </c>
      <c r="C516" s="37">
        <v>1.234557941805828E-3</v>
      </c>
      <c r="D516" s="36">
        <v>1028.77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x14ac:dyDescent="0.25">
      <c r="A517" s="35" t="s">
        <v>10</v>
      </c>
      <c r="B517" s="35" t="s">
        <v>560</v>
      </c>
      <c r="C517" s="37">
        <v>5.0681968834312811E-6</v>
      </c>
      <c r="D517" s="36">
        <v>4.22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x14ac:dyDescent="0.25">
      <c r="A518" s="35" t="s">
        <v>10</v>
      </c>
      <c r="B518" s="35" t="s">
        <v>511</v>
      </c>
      <c r="C518" s="37">
        <v>1.4615836785452312E-5</v>
      </c>
      <c r="D518" s="36">
        <v>12.18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x14ac:dyDescent="0.25">
      <c r="A519" s="35" t="s">
        <v>10</v>
      </c>
      <c r="B519" s="35" t="s">
        <v>260</v>
      </c>
      <c r="C519" s="37">
        <v>1.3699315231602255E-4</v>
      </c>
      <c r="D519" s="36">
        <v>114.16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x14ac:dyDescent="0.25">
      <c r="A520" s="35" t="s">
        <v>10</v>
      </c>
      <c r="B520" s="35" t="s">
        <v>261</v>
      </c>
      <c r="C520" s="37">
        <v>8.2862244433550144E-4</v>
      </c>
      <c r="D520" s="36">
        <v>690.5</v>
      </c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x14ac:dyDescent="0.25">
      <c r="A521" s="35" t="s">
        <v>10</v>
      </c>
      <c r="B521" s="35" t="s">
        <v>262</v>
      </c>
      <c r="C521" s="37">
        <v>3.5445033050642312E-5</v>
      </c>
      <c r="D521" s="36">
        <v>29.54</v>
      </c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x14ac:dyDescent="0.25">
      <c r="A522" s="35" t="s">
        <v>10</v>
      </c>
      <c r="B522" s="35" t="s">
        <v>438</v>
      </c>
      <c r="C522" s="37">
        <v>1.0321501472562314E-5</v>
      </c>
      <c r="D522" s="36">
        <v>8.6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x14ac:dyDescent="0.25">
      <c r="A523" s="35" t="s">
        <v>10</v>
      </c>
      <c r="B523" s="35" t="s">
        <v>711</v>
      </c>
      <c r="C523" s="37">
        <v>3.8788501273312717E-8</v>
      </c>
      <c r="D523" s="36">
        <v>0.03</v>
      </c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x14ac:dyDescent="0.25">
      <c r="A524" s="35" t="s">
        <v>10</v>
      </c>
      <c r="B524" s="35" t="s">
        <v>263</v>
      </c>
      <c r="C524" s="37">
        <v>9.0707277102713514E-6</v>
      </c>
      <c r="D524" s="36">
        <v>7.56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x14ac:dyDescent="0.25">
      <c r="A525" s="35" t="s">
        <v>10</v>
      </c>
      <c r="B525" s="35" t="s">
        <v>264</v>
      </c>
      <c r="C525" s="37">
        <v>3.3968013252495848E-4</v>
      </c>
      <c r="D525" s="36">
        <v>283.06</v>
      </c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x14ac:dyDescent="0.25">
      <c r="A526" s="35" t="s">
        <v>10</v>
      </c>
      <c r="B526" s="35" t="s">
        <v>265</v>
      </c>
      <c r="C526" s="37">
        <v>1.1911758194357112E-4</v>
      </c>
      <c r="D526" s="36">
        <v>99.26</v>
      </c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x14ac:dyDescent="0.25">
      <c r="A527" s="35" t="s">
        <v>10</v>
      </c>
      <c r="B527" s="35" t="s">
        <v>266</v>
      </c>
      <c r="C527" s="37">
        <v>9.6478009916379695E-5</v>
      </c>
      <c r="D527" s="36">
        <v>80.400000000000006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x14ac:dyDescent="0.25">
      <c r="A528" s="35" t="s">
        <v>10</v>
      </c>
      <c r="B528" s="35" t="s">
        <v>267</v>
      </c>
      <c r="C528" s="37">
        <v>1.3298431523837934E-4</v>
      </c>
      <c r="D528" s="36">
        <v>110.82</v>
      </c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x14ac:dyDescent="0.25">
      <c r="A529" s="35" t="s">
        <v>10</v>
      </c>
      <c r="B529" s="35" t="s">
        <v>583</v>
      </c>
      <c r="C529" s="37">
        <v>8.7138064502768492E-8</v>
      </c>
      <c r="D529" s="36">
        <v>7.0000000000000007E-2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x14ac:dyDescent="0.25">
      <c r="A530" s="35" t="s">
        <v>10</v>
      </c>
      <c r="B530" s="35" t="s">
        <v>268</v>
      </c>
      <c r="C530" s="37">
        <v>1.0576102973251642E-4</v>
      </c>
      <c r="D530" s="36">
        <v>88.13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x14ac:dyDescent="0.25">
      <c r="A531" s="35" t="s">
        <v>10</v>
      </c>
      <c r="B531" s="35" t="s">
        <v>371</v>
      </c>
      <c r="C531" s="37">
        <v>2.1735541660401161E-5</v>
      </c>
      <c r="D531" s="36">
        <v>18.11</v>
      </c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x14ac:dyDescent="0.25">
      <c r="A532" s="35" t="s">
        <v>10</v>
      </c>
      <c r="B532" s="35" t="s">
        <v>269</v>
      </c>
      <c r="C532" s="37">
        <v>3.5476965031153997E-5</v>
      </c>
      <c r="D532" s="36">
        <v>29.56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x14ac:dyDescent="0.25">
      <c r="A533" s="35" t="s">
        <v>10</v>
      </c>
      <c r="B533" s="35" t="s">
        <v>270</v>
      </c>
      <c r="C533" s="37">
        <v>1.1563765930948817E-5</v>
      </c>
      <c r="D533" s="36">
        <v>9.64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x14ac:dyDescent="0.25">
      <c r="A534" s="35" t="s">
        <v>10</v>
      </c>
      <c r="B534" s="35" t="s">
        <v>271</v>
      </c>
      <c r="C534" s="37">
        <v>4.3532652041495601E-4</v>
      </c>
      <c r="D534" s="36">
        <v>362.76</v>
      </c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x14ac:dyDescent="0.25">
      <c r="A535" s="35" t="s">
        <v>10</v>
      </c>
      <c r="B535" s="35" t="s">
        <v>512</v>
      </c>
      <c r="C535" s="37">
        <v>2.2251658482054618E-4</v>
      </c>
      <c r="D535" s="36">
        <v>185.42</v>
      </c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x14ac:dyDescent="0.25">
      <c r="A536" s="35" t="s">
        <v>10</v>
      </c>
      <c r="B536" s="35" t="s">
        <v>272</v>
      </c>
      <c r="C536" s="37">
        <v>4.0813310295620257E-4</v>
      </c>
      <c r="D536" s="36">
        <v>340.1</v>
      </c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x14ac:dyDescent="0.25">
      <c r="A537" s="35" t="s">
        <v>10</v>
      </c>
      <c r="B537" s="35" t="s">
        <v>461</v>
      </c>
      <c r="C537" s="37">
        <v>1.1311751831193894E-4</v>
      </c>
      <c r="D537" s="36">
        <v>94.26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x14ac:dyDescent="0.25">
      <c r="A538" s="35" t="s">
        <v>10</v>
      </c>
      <c r="B538" s="35" t="s">
        <v>561</v>
      </c>
      <c r="C538" s="37">
        <v>1.2747278404649537E-5</v>
      </c>
      <c r="D538" s="36">
        <v>10.62</v>
      </c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x14ac:dyDescent="0.25">
      <c r="A539" s="35" t="s">
        <v>10</v>
      </c>
      <c r="B539" s="35" t="s">
        <v>273</v>
      </c>
      <c r="C539" s="37">
        <v>1.0142185276082792E-4</v>
      </c>
      <c r="D539" s="36">
        <v>84.52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x14ac:dyDescent="0.25">
      <c r="A540" s="35" t="s">
        <v>10</v>
      </c>
      <c r="B540" s="35" t="s">
        <v>439</v>
      </c>
      <c r="C540" s="37">
        <v>2.8838313751634415E-5</v>
      </c>
      <c r="D540" s="36">
        <v>24.03</v>
      </c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x14ac:dyDescent="0.25">
      <c r="A541" s="35" t="s">
        <v>10</v>
      </c>
      <c r="B541" s="35" t="s">
        <v>274</v>
      </c>
      <c r="C541" s="37">
        <v>1.5749284077252792E-4</v>
      </c>
      <c r="D541" s="36">
        <v>131.24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x14ac:dyDescent="0.25">
      <c r="A542" s="35" t="s">
        <v>10</v>
      </c>
      <c r="B542" s="35" t="s">
        <v>374</v>
      </c>
      <c r="C542" s="37">
        <v>9.8100295758207705E-5</v>
      </c>
      <c r="D542" s="36">
        <v>81.75</v>
      </c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x14ac:dyDescent="0.25">
      <c r="A543" s="35" t="s">
        <v>10</v>
      </c>
      <c r="B543" s="35" t="s">
        <v>375</v>
      </c>
      <c r="C543" s="37">
        <v>1.592046184337392E-4</v>
      </c>
      <c r="D543" s="36">
        <v>132.66999999999999</v>
      </c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x14ac:dyDescent="0.25">
      <c r="A544" s="35" t="s">
        <v>10</v>
      </c>
      <c r="B544" s="35" t="s">
        <v>275</v>
      </c>
      <c r="C544" s="37">
        <v>4.8358619564813098E-4</v>
      </c>
      <c r="D544" s="36">
        <v>402.98</v>
      </c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x14ac:dyDescent="0.25">
      <c r="A545" s="35" t="s">
        <v>10</v>
      </c>
      <c r="B545" s="35" t="s">
        <v>440</v>
      </c>
      <c r="C545" s="37">
        <v>1.7790248816870271E-3</v>
      </c>
      <c r="D545" s="36">
        <v>1482.48</v>
      </c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x14ac:dyDescent="0.25">
      <c r="A546" s="35" t="s">
        <v>10</v>
      </c>
      <c r="B546" s="35" t="s">
        <v>276</v>
      </c>
      <c r="C546" s="37">
        <v>3.2991930556749716E-4</v>
      </c>
      <c r="D546" s="36">
        <v>274.92</v>
      </c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x14ac:dyDescent="0.25">
      <c r="A547" s="35" t="s">
        <v>10</v>
      </c>
      <c r="B547" s="35" t="s">
        <v>277</v>
      </c>
      <c r="C547" s="37">
        <v>1.6867937624742181E-3</v>
      </c>
      <c r="D547" s="36">
        <v>1405.62</v>
      </c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x14ac:dyDescent="0.25">
      <c r="A548" s="35" t="s">
        <v>10</v>
      </c>
      <c r="B548" s="35" t="s">
        <v>278</v>
      </c>
      <c r="C548" s="37">
        <v>1.1309539805158853E-5</v>
      </c>
      <c r="D548" s="36">
        <v>9.42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x14ac:dyDescent="0.25">
      <c r="A549" s="35"/>
      <c r="B549" s="35"/>
      <c r="C549" s="35"/>
      <c r="D549" s="344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x14ac:dyDescent="0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x14ac:dyDescent="0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x14ac:dyDescent="0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x14ac:dyDescent="0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x14ac:dyDescent="0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x14ac:dyDescent="0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x14ac:dyDescent="0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x14ac:dyDescent="0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x14ac:dyDescent="0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x14ac:dyDescent="0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x14ac:dyDescent="0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x14ac:dyDescent="0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x14ac:dyDescent="0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x14ac:dyDescent="0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x14ac:dyDescent="0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x14ac:dyDescent="0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x14ac:dyDescent="0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x14ac:dyDescent="0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x14ac:dyDescent="0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x14ac:dyDescent="0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x14ac:dyDescent="0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x14ac:dyDescent="0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x14ac:dyDescent="0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x14ac:dyDescent="0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x14ac:dyDescent="0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x14ac:dyDescent="0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x14ac:dyDescent="0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x14ac:dyDescent="0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x14ac:dyDescent="0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x14ac:dyDescent="0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x14ac:dyDescent="0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x14ac:dyDescent="0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x14ac:dyDescent="0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x14ac:dyDescent="0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x14ac:dyDescent="0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x14ac:dyDescent="0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x14ac:dyDescent="0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x14ac:dyDescent="0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x14ac:dyDescent="0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x14ac:dyDescent="0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x14ac:dyDescent="0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x14ac:dyDescent="0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x14ac:dyDescent="0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x14ac:dyDescent="0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x14ac:dyDescent="0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x14ac:dyDescent="0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x14ac:dyDescent="0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x14ac:dyDescent="0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x14ac:dyDescent="0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x14ac:dyDescent="0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x14ac:dyDescent="0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x14ac:dyDescent="0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x14ac:dyDescent="0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x14ac:dyDescent="0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x14ac:dyDescent="0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x14ac:dyDescent="0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x14ac:dyDescent="0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x14ac:dyDescent="0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x14ac:dyDescent="0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x14ac:dyDescent="0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x14ac:dyDescent="0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x14ac:dyDescent="0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x14ac:dyDescent="0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x14ac:dyDescent="0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x14ac:dyDescent="0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x14ac:dyDescent="0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x14ac:dyDescent="0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x14ac:dyDescent="0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x14ac:dyDescent="0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x14ac:dyDescent="0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x14ac:dyDescent="0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x14ac:dyDescent="0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x14ac:dyDescent="0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x14ac:dyDescent="0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x14ac:dyDescent="0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x14ac:dyDescent="0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x14ac:dyDescent="0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x14ac:dyDescent="0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x14ac:dyDescent="0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x14ac:dyDescent="0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x14ac:dyDescent="0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x14ac:dyDescent="0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x14ac:dyDescent="0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x14ac:dyDescent="0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x14ac:dyDescent="0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x14ac:dyDescent="0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x14ac:dyDescent="0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x14ac:dyDescent="0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x14ac:dyDescent="0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x14ac:dyDescent="0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x14ac:dyDescent="0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x14ac:dyDescent="0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x14ac:dyDescent="0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x14ac:dyDescent="0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x14ac:dyDescent="0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x14ac:dyDescent="0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x14ac:dyDescent="0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x14ac:dyDescent="0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x14ac:dyDescent="0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x14ac:dyDescent="0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x14ac:dyDescent="0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x14ac:dyDescent="0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x14ac:dyDescent="0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x14ac:dyDescent="0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x14ac:dyDescent="0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x14ac:dyDescent="0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x14ac:dyDescent="0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x14ac:dyDescent="0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x14ac:dyDescent="0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x14ac:dyDescent="0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x14ac:dyDescent="0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x14ac:dyDescent="0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x14ac:dyDescent="0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x14ac:dyDescent="0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x14ac:dyDescent="0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x14ac:dyDescent="0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x14ac:dyDescent="0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x14ac:dyDescent="0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x14ac:dyDescent="0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x14ac:dyDescent="0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x14ac:dyDescent="0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x14ac:dyDescent="0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x14ac:dyDescent="0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x14ac:dyDescent="0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x14ac:dyDescent="0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x14ac:dyDescent="0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x14ac:dyDescent="0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x14ac:dyDescent="0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x14ac:dyDescent="0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x14ac:dyDescent="0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x14ac:dyDescent="0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x14ac:dyDescent="0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x14ac:dyDescent="0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x14ac:dyDescent="0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x14ac:dyDescent="0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x14ac:dyDescent="0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x14ac:dyDescent="0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x14ac:dyDescent="0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x14ac:dyDescent="0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x14ac:dyDescent="0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x14ac:dyDescent="0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x14ac:dyDescent="0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x14ac:dyDescent="0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x14ac:dyDescent="0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x14ac:dyDescent="0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x14ac:dyDescent="0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x14ac:dyDescent="0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x14ac:dyDescent="0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x14ac:dyDescent="0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x14ac:dyDescent="0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x14ac:dyDescent="0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x14ac:dyDescent="0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x14ac:dyDescent="0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x14ac:dyDescent="0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x14ac:dyDescent="0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x14ac:dyDescent="0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x14ac:dyDescent="0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x14ac:dyDescent="0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x14ac:dyDescent="0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x14ac:dyDescent="0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x14ac:dyDescent="0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spans="1:26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 spans="1:26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  <row r="1004" spans="1:26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</row>
    <row r="1005" spans="1:26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</row>
    <row r="1006" spans="1:26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</row>
    <row r="1007" spans="1:26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</row>
    <row r="1008" spans="1:26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</row>
    <row r="1009" spans="1:26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</row>
    <row r="1010" spans="1:26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</row>
    <row r="1011" spans="1:26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</row>
    <row r="1012" spans="1:26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</row>
    <row r="1013" spans="1:26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</row>
    <row r="1014" spans="1:26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</row>
    <row r="1015" spans="1:26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</row>
    <row r="1016" spans="1:26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</row>
    <row r="1017" spans="1:26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</row>
    <row r="1018" spans="1:26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</row>
    <row r="1019" spans="1:26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</row>
    <row r="1020" spans="1:26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</row>
    <row r="1021" spans="1:26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</row>
    <row r="1022" spans="1:26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</row>
    <row r="1023" spans="1:26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</row>
    <row r="1024" spans="1:26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</row>
    <row r="1025" spans="1:26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</row>
    <row r="1026" spans="1:26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</row>
    <row r="1027" spans="1:26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</row>
    <row r="1028" spans="1:26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</row>
    <row r="1029" spans="1:26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</row>
    <row r="1030" spans="1:26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</row>
    <row r="1031" spans="1:26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</row>
    <row r="1032" spans="1:26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</row>
    <row r="1033" spans="1:26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</row>
    <row r="1034" spans="1:26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</row>
    <row r="1035" spans="1:26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</row>
    <row r="1036" spans="1:26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</row>
    <row r="1037" spans="1:26" x14ac:dyDescent="0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</row>
    <row r="1038" spans="1:26" x14ac:dyDescent="0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</row>
    <row r="1039" spans="1:26" x14ac:dyDescent="0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</row>
    <row r="1040" spans="1:26" x14ac:dyDescent="0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</row>
    <row r="1041" spans="1:26" x14ac:dyDescent="0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</row>
    <row r="1042" spans="1:26" x14ac:dyDescent="0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</row>
    <row r="1043" spans="1:26" x14ac:dyDescent="0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</row>
    <row r="1044" spans="1:26" x14ac:dyDescent="0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</row>
    <row r="1045" spans="1:26" x14ac:dyDescent="0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</row>
    <row r="1046" spans="1:26" x14ac:dyDescent="0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</row>
    <row r="1047" spans="1:26" x14ac:dyDescent="0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</row>
    <row r="1048" spans="1:26" x14ac:dyDescent="0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</row>
    <row r="1049" spans="1:26" x14ac:dyDescent="0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</row>
    <row r="1050" spans="1:26" x14ac:dyDescent="0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</row>
    <row r="1051" spans="1:26" x14ac:dyDescent="0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</row>
    <row r="1052" spans="1:26" x14ac:dyDescent="0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</row>
    <row r="1053" spans="1:26" x14ac:dyDescent="0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</row>
    <row r="1054" spans="1:26" x14ac:dyDescent="0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</row>
    <row r="1055" spans="1:26" x14ac:dyDescent="0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</row>
    <row r="1056" spans="1:26" x14ac:dyDescent="0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</row>
    <row r="1057" spans="1:26" x14ac:dyDescent="0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</row>
    <row r="1058" spans="1:26" x14ac:dyDescent="0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</row>
    <row r="1059" spans="1:26" x14ac:dyDescent="0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</row>
    <row r="1060" spans="1:26" x14ac:dyDescent="0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</row>
    <row r="1061" spans="1:26" x14ac:dyDescent="0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</row>
    <row r="1062" spans="1:26" x14ac:dyDescent="0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</row>
    <row r="1063" spans="1:26" x14ac:dyDescent="0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</row>
    <row r="1064" spans="1:26" x14ac:dyDescent="0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</row>
    <row r="1065" spans="1:26" x14ac:dyDescent="0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</row>
    <row r="1066" spans="1:26" x14ac:dyDescent="0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</row>
    <row r="1067" spans="1:26" x14ac:dyDescent="0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</row>
    <row r="1068" spans="1:26" x14ac:dyDescent="0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</row>
    <row r="1069" spans="1:26" x14ac:dyDescent="0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</row>
    <row r="1070" spans="1:26" x14ac:dyDescent="0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</row>
    <row r="1071" spans="1:26" x14ac:dyDescent="0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</row>
    <row r="1072" spans="1:26" x14ac:dyDescent="0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</row>
    <row r="1073" spans="1:26" x14ac:dyDescent="0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</row>
    <row r="1074" spans="1:26" x14ac:dyDescent="0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</row>
    <row r="1075" spans="1:26" x14ac:dyDescent="0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</row>
    <row r="1076" spans="1:26" x14ac:dyDescent="0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</row>
    <row r="1077" spans="1:26" x14ac:dyDescent="0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</row>
    <row r="1078" spans="1:26" x14ac:dyDescent="0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</row>
    <row r="1079" spans="1:26" x14ac:dyDescent="0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</row>
    <row r="1080" spans="1:26" x14ac:dyDescent="0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</row>
    <row r="1081" spans="1:26" x14ac:dyDescent="0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</row>
    <row r="1082" spans="1:26" x14ac:dyDescent="0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</row>
    <row r="1083" spans="1:26" x14ac:dyDescent="0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</row>
    <row r="1084" spans="1:26" x14ac:dyDescent="0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</row>
    <row r="1085" spans="1:26" x14ac:dyDescent="0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</row>
    <row r="1086" spans="1:26" x14ac:dyDescent="0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</row>
    <row r="1087" spans="1:26" x14ac:dyDescent="0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</row>
    <row r="1088" spans="1:26" x14ac:dyDescent="0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</row>
    <row r="1089" spans="1:26" x14ac:dyDescent="0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</row>
    <row r="1090" spans="1:26" x14ac:dyDescent="0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</row>
    <row r="1091" spans="1:26" x14ac:dyDescent="0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</row>
    <row r="1092" spans="1:26" x14ac:dyDescent="0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</row>
    <row r="1093" spans="1:26" x14ac:dyDescent="0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</row>
    <row r="1094" spans="1:26" x14ac:dyDescent="0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</row>
    <row r="1095" spans="1:26" x14ac:dyDescent="0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</row>
    <row r="1096" spans="1:26" x14ac:dyDescent="0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</row>
    <row r="1097" spans="1:26" x14ac:dyDescent="0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</row>
    <row r="1098" spans="1:26" x14ac:dyDescent="0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</row>
    <row r="1099" spans="1:26" x14ac:dyDescent="0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</row>
    <row r="1100" spans="1:26" x14ac:dyDescent="0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</row>
    <row r="1101" spans="1:26" x14ac:dyDescent="0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</row>
    <row r="1102" spans="1:26" x14ac:dyDescent="0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</row>
    <row r="1103" spans="1:26" x14ac:dyDescent="0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</row>
    <row r="1104" spans="1:26" x14ac:dyDescent="0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</row>
    <row r="1105" spans="1:26" x14ac:dyDescent="0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</row>
    <row r="1106" spans="1:26" x14ac:dyDescent="0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</row>
    <row r="1107" spans="1:26" x14ac:dyDescent="0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</row>
    <row r="1108" spans="1:26" x14ac:dyDescent="0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</row>
    <row r="1109" spans="1:26" x14ac:dyDescent="0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</row>
    <row r="1110" spans="1:26" x14ac:dyDescent="0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</row>
    <row r="1111" spans="1:26" x14ac:dyDescent="0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</row>
    <row r="1112" spans="1:26" x14ac:dyDescent="0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</row>
    <row r="1113" spans="1:26" x14ac:dyDescent="0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</row>
    <row r="1114" spans="1:26" x14ac:dyDescent="0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</row>
    <row r="1115" spans="1:26" x14ac:dyDescent="0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</row>
    <row r="1116" spans="1:26" x14ac:dyDescent="0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</row>
    <row r="1117" spans="1:26" x14ac:dyDescent="0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</row>
    <row r="1118" spans="1:26" x14ac:dyDescent="0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</row>
    <row r="1119" spans="1:26" x14ac:dyDescent="0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</row>
    <row r="1120" spans="1:26" x14ac:dyDescent="0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</row>
    <row r="1121" spans="1:26" x14ac:dyDescent="0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</row>
    <row r="1122" spans="1:26" x14ac:dyDescent="0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</row>
    <row r="1123" spans="1:26" x14ac:dyDescent="0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</row>
    <row r="1124" spans="1:26" x14ac:dyDescent="0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</row>
    <row r="1125" spans="1:26" x14ac:dyDescent="0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2019-09-10T15:30:41Z</dcterms:modified>
</cp:coreProperties>
</file>