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0\05-CONCILIACION RMER+PDC MAYO\2. DTER_MAYO_2020\DTER OFICIAL\Nueva carpeta\"/>
    </mc:Choice>
  </mc:AlternateContent>
  <bookViews>
    <workbookView xWindow="0" yWindow="0" windowWidth="28800" windowHeight="12030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BD!$A$1:$D$611</definedName>
    <definedName name="_xlnm._FilterDatabase" localSheetId="1" hidden="1">'CALCULO CC AGENTES'!$L$2:$O$509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0" i="2" l="1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A510" i="2"/>
  <c r="A511" i="2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C509" i="2" l="1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741" i="2" l="1"/>
  <c r="F742" i="2"/>
  <c r="F743" i="2"/>
  <c r="F744" i="2"/>
  <c r="F745" i="2"/>
  <c r="F746" i="2"/>
  <c r="C741" i="2"/>
  <c r="C742" i="2"/>
  <c r="C743" i="2"/>
  <c r="C744" i="2"/>
  <c r="C745" i="2"/>
  <c r="C746" i="2"/>
  <c r="F451" i="2" l="1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5" i="2" l="1"/>
  <c r="F486" i="2"/>
  <c r="F487" i="2"/>
  <c r="F488" i="2"/>
  <c r="F489" i="2"/>
  <c r="F490" i="2"/>
  <c r="F491" i="2"/>
  <c r="F444" i="2"/>
  <c r="F445" i="2"/>
  <c r="F446" i="2"/>
  <c r="F447" i="2"/>
  <c r="F448" i="2"/>
  <c r="F449" i="2"/>
  <c r="F450" i="2"/>
  <c r="F482" i="2"/>
  <c r="F483" i="2"/>
  <c r="F484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619" i="2" l="1"/>
  <c r="F620" i="2"/>
  <c r="F621" i="2"/>
  <c r="F622" i="2"/>
  <c r="C620" i="2"/>
  <c r="C621" i="2"/>
  <c r="C622" i="2"/>
  <c r="C623" i="2"/>
  <c r="C624" i="2"/>
  <c r="C625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373" i="2" l="1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740" i="2" l="1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431" i="2"/>
  <c r="F430" i="2"/>
  <c r="F429" i="2"/>
  <c r="F428" i="2"/>
  <c r="F427" i="2"/>
  <c r="F426" i="2"/>
  <c r="F343" i="2" l="1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543" i="2" l="1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372" i="2"/>
  <c r="F371" i="2"/>
  <c r="F370" i="2"/>
  <c r="F369" i="2"/>
  <c r="F368" i="2"/>
  <c r="F367" i="2"/>
  <c r="F366" i="2"/>
  <c r="F365" i="2"/>
  <c r="F364" i="2"/>
  <c r="F363" i="2"/>
  <c r="F362" i="2"/>
  <c r="F342" i="2"/>
  <c r="AS46" i="1" l="1"/>
  <c r="AQ22" i="1"/>
  <c r="AS25" i="1"/>
  <c r="E49" i="1" l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739" i="2"/>
  <c r="C740" i="2"/>
  <c r="C721" i="2" l="1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F604" i="2"/>
  <c r="F605" i="2"/>
  <c r="F606" i="2"/>
  <c r="F607" i="2"/>
  <c r="C604" i="2"/>
  <c r="C605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8" i="2"/>
  <c r="F609" i="2"/>
  <c r="F610" i="2"/>
  <c r="F611" i="2"/>
  <c r="F612" i="2"/>
  <c r="F613" i="2"/>
  <c r="F614" i="2"/>
  <c r="F615" i="2"/>
  <c r="F616" i="2"/>
  <c r="F617" i="2"/>
  <c r="F618" i="2"/>
  <c r="F623" i="2"/>
  <c r="F624" i="2"/>
  <c r="F625" i="2"/>
  <c r="F627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44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626" i="2" l="1"/>
  <c r="D54" i="1" l="1"/>
  <c r="D25" i="1" l="1"/>
  <c r="AO25" i="1"/>
  <c r="E25" i="1" l="1"/>
  <c r="G25" i="1" s="1"/>
  <c r="AV25" i="1"/>
  <c r="AW25" i="1" s="1"/>
  <c r="AX25" i="1" s="1"/>
  <c r="AT25" i="1"/>
  <c r="E50" i="1"/>
  <c r="E51" i="1"/>
  <c r="E52" i="1"/>
  <c r="E53" i="1"/>
  <c r="E48" i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542" i="2"/>
  <c r="C543" i="2"/>
  <c r="F751" i="2" l="1"/>
  <c r="N5" i="1" s="1"/>
  <c r="F542" i="2"/>
  <c r="F755" i="2" s="1"/>
  <c r="R5" i="1" s="1"/>
  <c r="F753" i="2"/>
  <c r="P5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AO10" i="1"/>
  <c r="E10" i="1" s="1"/>
  <c r="G10" i="1" s="1"/>
  <c r="AO11" i="1"/>
  <c r="E11" i="1" s="1"/>
  <c r="G11" i="1" s="1"/>
  <c r="AO12" i="1"/>
  <c r="E12" i="1" s="1"/>
  <c r="G12" i="1" s="1"/>
  <c r="AO13" i="1"/>
  <c r="E13" i="1" s="1"/>
  <c r="G13" i="1" s="1"/>
  <c r="AO14" i="1"/>
  <c r="E14" i="1" s="1"/>
  <c r="G14" i="1" s="1"/>
  <c r="AO15" i="1"/>
  <c r="E15" i="1" s="1"/>
  <c r="G15" i="1" s="1"/>
  <c r="AO16" i="1"/>
  <c r="AV16" i="1" s="1"/>
  <c r="AW16" i="1" s="1"/>
  <c r="AX16" i="1" s="1"/>
  <c r="AO17" i="1"/>
  <c r="E17" i="1" s="1"/>
  <c r="G17" i="1" s="1"/>
  <c r="AO18" i="1"/>
  <c r="E18" i="1" s="1"/>
  <c r="G18" i="1" s="1"/>
  <c r="AO19" i="1"/>
  <c r="E19" i="1" s="1"/>
  <c r="G19" i="1" s="1"/>
  <c r="AO20" i="1"/>
  <c r="E20" i="1" s="1"/>
  <c r="G20" i="1" s="1"/>
  <c r="AO21" i="1"/>
  <c r="E21" i="1" s="1"/>
  <c r="G21" i="1" s="1"/>
  <c r="K10" i="1"/>
  <c r="K22" i="1" s="1"/>
  <c r="AO23" i="1"/>
  <c r="E23" i="1" s="1"/>
  <c r="G23" i="1" s="1"/>
  <c r="AO24" i="1"/>
  <c r="E24" i="1" s="1"/>
  <c r="G24" i="1" s="1"/>
  <c r="AO28" i="1"/>
  <c r="AV28" i="1" s="1"/>
  <c r="AW28" i="1" s="1"/>
  <c r="AX28" i="1" s="1"/>
  <c r="AO29" i="1"/>
  <c r="E29" i="1" s="1"/>
  <c r="G29" i="1" s="1"/>
  <c r="AO32" i="1"/>
  <c r="E32" i="1" s="1"/>
  <c r="G32" i="1" s="1"/>
  <c r="AO33" i="1"/>
  <c r="E33" i="1" s="1"/>
  <c r="G33" i="1" s="1"/>
  <c r="AO34" i="1"/>
  <c r="E34" i="1" s="1"/>
  <c r="G34" i="1" s="1"/>
  <c r="AO35" i="1"/>
  <c r="E35" i="1" s="1"/>
  <c r="G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O26" i="1"/>
  <c r="AV26" i="1" s="1"/>
  <c r="AW26" i="1" s="1"/>
  <c r="AX26" i="1" s="1"/>
  <c r="AO27" i="1"/>
  <c r="AV27" i="1" s="1"/>
  <c r="AO36" i="1"/>
  <c r="AV36" i="1" s="1"/>
  <c r="AW36" i="1" s="1"/>
  <c r="AX36" i="1" s="1"/>
  <c r="AO30" i="1"/>
  <c r="AV30" i="1" s="1"/>
  <c r="AO31" i="1"/>
  <c r="E31" i="1" s="1"/>
  <c r="G31" i="1" s="1"/>
  <c r="AX22" i="1"/>
  <c r="AQ37" i="1"/>
  <c r="AS39" i="1" s="1"/>
  <c r="AM22" i="1"/>
  <c r="AM37" i="1"/>
  <c r="AS23" i="1"/>
  <c r="AS24" i="1"/>
  <c r="AS26" i="1"/>
  <c r="AS27" i="1"/>
  <c r="AS28" i="1"/>
  <c r="AS29" i="1"/>
  <c r="AS30" i="1"/>
  <c r="AS31" i="1"/>
  <c r="AS32" i="1"/>
  <c r="AS33" i="1"/>
  <c r="AS34" i="1"/>
  <c r="AS35" i="1"/>
  <c r="AS36" i="1"/>
  <c r="AS11" i="1"/>
  <c r="AS12" i="1"/>
  <c r="AS13" i="1"/>
  <c r="AS14" i="1"/>
  <c r="AS15" i="1"/>
  <c r="AS16" i="1"/>
  <c r="AS17" i="1"/>
  <c r="AT17" i="1" s="1"/>
  <c r="AS18" i="1"/>
  <c r="AS19" i="1"/>
  <c r="AS20" i="1"/>
  <c r="AS21" i="1"/>
  <c r="AS10" i="1"/>
  <c r="F38" i="1"/>
  <c r="F22" i="1"/>
  <c r="I37" i="1"/>
  <c r="H37" i="1"/>
  <c r="S22" i="1"/>
  <c r="R22" i="1"/>
  <c r="Q22" i="1"/>
  <c r="P22" i="1"/>
  <c r="O22" i="1"/>
  <c r="N22" i="1"/>
  <c r="I22" i="1"/>
  <c r="D21" i="1"/>
  <c r="D20" i="1"/>
  <c r="D19" i="1"/>
  <c r="D18" i="1"/>
  <c r="D17" i="1"/>
  <c r="D16" i="1"/>
  <c r="D15" i="1"/>
  <c r="D14" i="1"/>
  <c r="D13" i="1"/>
  <c r="D12" i="1"/>
  <c r="D11" i="1"/>
  <c r="D10" i="1"/>
  <c r="J22" i="1"/>
  <c r="AT16" i="1" l="1"/>
  <c r="AT23" i="1"/>
  <c r="F541" i="2"/>
  <c r="F756" i="2" s="1"/>
  <c r="S5" i="1" s="1"/>
  <c r="AT13" i="1"/>
  <c r="AT10" i="1"/>
  <c r="AT32" i="1"/>
  <c r="AT30" i="1"/>
  <c r="AT28" i="1"/>
  <c r="AT27" i="1"/>
  <c r="AT26" i="1"/>
  <c r="AT24" i="1"/>
  <c r="AV19" i="1"/>
  <c r="AW19" i="1" s="1"/>
  <c r="AX19" i="1" s="1"/>
  <c r="AV11" i="1"/>
  <c r="AW11" i="1" s="1"/>
  <c r="AX11" i="1" s="1"/>
  <c r="A373" i="2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T20" i="1"/>
  <c r="AT19" i="1"/>
  <c r="AT11" i="1"/>
  <c r="AT29" i="1"/>
  <c r="AT18" i="1"/>
  <c r="AT36" i="1"/>
  <c r="AT12" i="1"/>
  <c r="AT15" i="1"/>
  <c r="AT33" i="1"/>
  <c r="AT35" i="1"/>
  <c r="E16" i="1"/>
  <c r="G16" i="1" s="1"/>
  <c r="AV14" i="1"/>
  <c r="AW14" i="1" s="1"/>
  <c r="AX14" i="1" s="1"/>
  <c r="AT14" i="1"/>
  <c r="AT21" i="1"/>
  <c r="AV34" i="1"/>
  <c r="AW34" i="1" s="1"/>
  <c r="AX34" i="1" s="1"/>
  <c r="AV24" i="1"/>
  <c r="AW24" i="1" s="1"/>
  <c r="AX24" i="1" s="1"/>
  <c r="E30" i="1"/>
  <c r="G30" i="1" s="1"/>
  <c r="E36" i="1"/>
  <c r="G36" i="1" s="1"/>
  <c r="F581" i="2"/>
  <c r="F754" i="2" s="1"/>
  <c r="Q5" i="1" s="1"/>
  <c r="AT31" i="1"/>
  <c r="AT34" i="1"/>
  <c r="AV23" i="1"/>
  <c r="AW23" i="1" s="1"/>
  <c r="AX23" i="1" s="1"/>
  <c r="AV13" i="1"/>
  <c r="AW13" i="1" s="1"/>
  <c r="AX13" i="1" s="1"/>
  <c r="AO39" i="1"/>
  <c r="AU39" i="1" s="1"/>
  <c r="AV35" i="1"/>
  <c r="AW35" i="1" s="1"/>
  <c r="AX35" i="1" s="1"/>
  <c r="AV33" i="1"/>
  <c r="AW33" i="1" s="1"/>
  <c r="AX33" i="1" s="1"/>
  <c r="E28" i="1"/>
  <c r="G28" i="1" s="1"/>
  <c r="AV18" i="1"/>
  <c r="AW18" i="1" s="1"/>
  <c r="AX18" i="1" s="1"/>
  <c r="AV15" i="1"/>
  <c r="AW15" i="1" s="1"/>
  <c r="AX15" i="1" s="1"/>
  <c r="E26" i="1"/>
  <c r="G26" i="1" s="1"/>
  <c r="AV32" i="1"/>
  <c r="AW32" i="1" s="1"/>
  <c r="AX32" i="1" s="1"/>
  <c r="AV29" i="1"/>
  <c r="AW29" i="1" s="1"/>
  <c r="AX29" i="1" s="1"/>
  <c r="AV21" i="1"/>
  <c r="AW21" i="1" s="1"/>
  <c r="AX21" i="1" s="1"/>
  <c r="AV20" i="1"/>
  <c r="AW20" i="1" s="1"/>
  <c r="AX20" i="1" s="1"/>
  <c r="AV17" i="1"/>
  <c r="AW17" i="1" s="1"/>
  <c r="AX17" i="1" s="1"/>
  <c r="AV12" i="1"/>
  <c r="AW12" i="1" s="1"/>
  <c r="AX12" i="1" s="1"/>
  <c r="AV10" i="1"/>
  <c r="AW10" i="1" s="1"/>
  <c r="AX10" i="1" s="1"/>
  <c r="D37" i="1"/>
  <c r="AT39" i="1"/>
  <c r="D22" i="1"/>
  <c r="F8" i="3"/>
  <c r="F10" i="3"/>
  <c r="AW27" i="1"/>
  <c r="AX27" i="1" s="1"/>
  <c r="AW30" i="1"/>
  <c r="AX30" i="1" s="1"/>
  <c r="AQ39" i="1"/>
  <c r="AV31" i="1"/>
  <c r="E27" i="1"/>
  <c r="G27" i="1" s="1"/>
  <c r="F752" i="2"/>
  <c r="F6" i="3"/>
  <c r="J23" i="1" l="1"/>
  <c r="J37" i="1" s="1"/>
  <c r="A432" i="2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O5" i="1"/>
  <c r="E22" i="1"/>
  <c r="F11" i="3"/>
  <c r="D38" i="1"/>
  <c r="AX39" i="1"/>
  <c r="F9" i="3"/>
  <c r="E37" i="1"/>
  <c r="AW31" i="1"/>
  <c r="AX31" i="1" s="1"/>
  <c r="F757" i="2"/>
  <c r="F53" i="1" l="1"/>
  <c r="K23" i="1"/>
  <c r="J18" i="3"/>
  <c r="A444" i="2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2" i="2" s="1"/>
  <c r="G22" i="1"/>
  <c r="M22" i="1" s="1"/>
  <c r="F48" i="1"/>
  <c r="F7" i="3"/>
  <c r="F12" i="3" s="1"/>
  <c r="F49" i="1"/>
  <c r="F50" i="1"/>
  <c r="G48" i="1"/>
  <c r="F52" i="1"/>
  <c r="F51" i="1"/>
  <c r="T5" i="1"/>
  <c r="E38" i="1"/>
  <c r="E39" i="1" s="1"/>
  <c r="J19" i="3"/>
  <c r="K37" i="1"/>
  <c r="AZ39" i="1"/>
  <c r="L28" i="1" l="1"/>
  <c r="H50" i="1"/>
  <c r="H48" i="1"/>
  <c r="M28" i="1"/>
  <c r="T28" i="1" s="1"/>
  <c r="L23" i="1"/>
  <c r="H52" i="1"/>
  <c r="H53" i="1"/>
  <c r="H51" i="1"/>
  <c r="H49" i="1"/>
  <c r="A543" i="2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C8" i="3"/>
  <c r="C9" i="3"/>
  <c r="C11" i="3"/>
  <c r="C7" i="3"/>
  <c r="C10" i="3"/>
  <c r="C6" i="3"/>
  <c r="C12" i="3"/>
  <c r="G37" i="1"/>
  <c r="G38" i="1" s="1"/>
  <c r="J16" i="3" s="1"/>
  <c r="J21" i="3" s="1"/>
  <c r="F54" i="1"/>
  <c r="Q43" i="1"/>
  <c r="G7" i="3" s="1"/>
  <c r="L30" i="1"/>
  <c r="M30" i="1" s="1"/>
  <c r="T30" i="1" s="1"/>
  <c r="U43" i="1"/>
  <c r="G11" i="3" s="1"/>
  <c r="T43" i="1"/>
  <c r="G10" i="3" s="1"/>
  <c r="E12" i="3"/>
  <c r="P43" i="1"/>
  <c r="G6" i="3" s="1"/>
  <c r="L32" i="1"/>
  <c r="M32" i="1" s="1"/>
  <c r="T32" i="1" s="1"/>
  <c r="S43" i="1"/>
  <c r="G9" i="3" s="1"/>
  <c r="L34" i="1"/>
  <c r="E6" i="3"/>
  <c r="L36" i="1"/>
  <c r="M36" i="1" s="1"/>
  <c r="T36" i="1" s="1"/>
  <c r="E7" i="3"/>
  <c r="E9" i="3"/>
  <c r="E10" i="3"/>
  <c r="E8" i="3"/>
  <c r="L26" i="1"/>
  <c r="M26" i="1" s="1"/>
  <c r="T26" i="1" s="1"/>
  <c r="R43" i="1"/>
  <c r="G8" i="3" s="1"/>
  <c r="E11" i="3"/>
  <c r="G12" i="3" l="1"/>
  <c r="L37" i="1"/>
  <c r="M23" i="1"/>
  <c r="N23" i="1" s="1"/>
  <c r="N37" i="1" s="1"/>
  <c r="P44" i="1" s="1"/>
  <c r="H6" i="3" s="1"/>
  <c r="H54" i="1"/>
  <c r="S36" i="1"/>
  <c r="S37" i="1" s="1"/>
  <c r="V49" i="1" s="1"/>
  <c r="P28" i="1"/>
  <c r="P37" i="1" s="1"/>
  <c r="R44" i="1" s="1"/>
  <c r="H8" i="3" s="1"/>
  <c r="R32" i="1"/>
  <c r="R37" i="1" s="1"/>
  <c r="T44" i="1" s="1"/>
  <c r="T45" i="1" s="1"/>
  <c r="I10" i="3" s="1"/>
  <c r="O26" i="1"/>
  <c r="O37" i="1" s="1"/>
  <c r="D7" i="3" s="1"/>
  <c r="Q30" i="1"/>
  <c r="Q37" i="1" s="1"/>
  <c r="S44" i="1" s="1"/>
  <c r="S45" i="1" s="1"/>
  <c r="E576" i="2" s="1"/>
  <c r="G576" i="2" s="1"/>
  <c r="M37" i="1" l="1"/>
  <c r="M38" i="1" s="1"/>
  <c r="T38" i="1" s="1"/>
  <c r="D6" i="3"/>
  <c r="P45" i="1"/>
  <c r="E664" i="2" s="1"/>
  <c r="G664" i="2" s="1"/>
  <c r="T23" i="1"/>
  <c r="D11" i="3"/>
  <c r="U44" i="1"/>
  <c r="H11" i="3" s="1"/>
  <c r="D10" i="3"/>
  <c r="D8" i="3"/>
  <c r="E563" i="2"/>
  <c r="G563" i="2" s="1"/>
  <c r="E564" i="2"/>
  <c r="G564" i="2" s="1"/>
  <c r="E559" i="2"/>
  <c r="G559" i="2" s="1"/>
  <c r="E557" i="2"/>
  <c r="G557" i="2" s="1"/>
  <c r="E575" i="2"/>
  <c r="G575" i="2" s="1"/>
  <c r="E580" i="2"/>
  <c r="G580" i="2" s="1"/>
  <c r="E548" i="2"/>
  <c r="G548" i="2" s="1"/>
  <c r="R45" i="1"/>
  <c r="E753" i="2" s="1"/>
  <c r="E550" i="2"/>
  <c r="G550" i="2" s="1"/>
  <c r="E570" i="2"/>
  <c r="G570" i="2" s="1"/>
  <c r="E544" i="2"/>
  <c r="G544" i="2" s="1"/>
  <c r="E754" i="2"/>
  <c r="E571" i="2"/>
  <c r="G571" i="2" s="1"/>
  <c r="D9" i="3"/>
  <c r="E546" i="2"/>
  <c r="G546" i="2" s="1"/>
  <c r="E552" i="2"/>
  <c r="G552" i="2" s="1"/>
  <c r="E579" i="2"/>
  <c r="G579" i="2" s="1"/>
  <c r="E568" i="2"/>
  <c r="G568" i="2" s="1"/>
  <c r="E554" i="2"/>
  <c r="G554" i="2" s="1"/>
  <c r="E567" i="2"/>
  <c r="G567" i="2" s="1"/>
  <c r="Q44" i="1"/>
  <c r="H7" i="3" s="1"/>
  <c r="E543" i="2"/>
  <c r="G543" i="2" s="1"/>
  <c r="E556" i="2"/>
  <c r="G556" i="2" s="1"/>
  <c r="E560" i="2"/>
  <c r="G560" i="2" s="1"/>
  <c r="E561" i="2"/>
  <c r="G561" i="2" s="1"/>
  <c r="E573" i="2"/>
  <c r="G573" i="2" s="1"/>
  <c r="E551" i="2"/>
  <c r="G551" i="2" s="1"/>
  <c r="E566" i="2"/>
  <c r="G566" i="2" s="1"/>
  <c r="E577" i="2"/>
  <c r="G577" i="2" s="1"/>
  <c r="E565" i="2"/>
  <c r="G565" i="2" s="1"/>
  <c r="H9" i="3"/>
  <c r="I9" i="3"/>
  <c r="E572" i="2"/>
  <c r="G572" i="2" s="1"/>
  <c r="E578" i="2"/>
  <c r="G578" i="2" s="1"/>
  <c r="E547" i="2"/>
  <c r="G547" i="2" s="1"/>
  <c r="E553" i="2"/>
  <c r="G553" i="2" s="1"/>
  <c r="E558" i="2"/>
  <c r="G558" i="2" s="1"/>
  <c r="E545" i="2"/>
  <c r="G545" i="2" s="1"/>
  <c r="E569" i="2"/>
  <c r="G569" i="2" s="1"/>
  <c r="E562" i="2"/>
  <c r="G562" i="2" s="1"/>
  <c r="E574" i="2"/>
  <c r="G574" i="2" s="1"/>
  <c r="E555" i="2"/>
  <c r="G555" i="2" s="1"/>
  <c r="E549" i="2"/>
  <c r="G549" i="2" s="1"/>
  <c r="E542" i="2"/>
  <c r="G542" i="2" s="1"/>
  <c r="E755" i="2"/>
  <c r="H10" i="3"/>
  <c r="E714" i="2"/>
  <c r="G714" i="2" s="1"/>
  <c r="E676" i="2" l="1"/>
  <c r="G676" i="2" s="1"/>
  <c r="E715" i="2"/>
  <c r="G715" i="2" s="1"/>
  <c r="E751" i="2"/>
  <c r="E643" i="2"/>
  <c r="G643" i="2" s="1"/>
  <c r="E641" i="2"/>
  <c r="G641" i="2" s="1"/>
  <c r="E652" i="2"/>
  <c r="G652" i="2" s="1"/>
  <c r="E739" i="2"/>
  <c r="G739" i="2" s="1"/>
  <c r="E741" i="2"/>
  <c r="G741" i="2" s="1"/>
  <c r="E745" i="2"/>
  <c r="G745" i="2" s="1"/>
  <c r="E742" i="2"/>
  <c r="G742" i="2" s="1"/>
  <c r="E744" i="2"/>
  <c r="G744" i="2" s="1"/>
  <c r="E743" i="2"/>
  <c r="G743" i="2" s="1"/>
  <c r="E746" i="2"/>
  <c r="G746" i="2" s="1"/>
  <c r="E659" i="2"/>
  <c r="G659" i="2" s="1"/>
  <c r="E696" i="2"/>
  <c r="G696" i="2" s="1"/>
  <c r="E691" i="2"/>
  <c r="G691" i="2" s="1"/>
  <c r="E672" i="2"/>
  <c r="G672" i="2" s="1"/>
  <c r="E651" i="2"/>
  <c r="G651" i="2" s="1"/>
  <c r="E631" i="2"/>
  <c r="G631" i="2" s="1"/>
  <c r="E642" i="2"/>
  <c r="G642" i="2" s="1"/>
  <c r="E702" i="2"/>
  <c r="G702" i="2" s="1"/>
  <c r="E716" i="2"/>
  <c r="G716" i="2" s="1"/>
  <c r="E680" i="2"/>
  <c r="G680" i="2" s="1"/>
  <c r="E666" i="2"/>
  <c r="G666" i="2" s="1"/>
  <c r="E731" i="2"/>
  <c r="G731" i="2" s="1"/>
  <c r="E708" i="2"/>
  <c r="G708" i="2" s="1"/>
  <c r="E685" i="2"/>
  <c r="G685" i="2" s="1"/>
  <c r="E656" i="2"/>
  <c r="G656" i="2" s="1"/>
  <c r="E637" i="2"/>
  <c r="G637" i="2" s="1"/>
  <c r="E645" i="2"/>
  <c r="G645" i="2" s="1"/>
  <c r="E726" i="2"/>
  <c r="G726" i="2" s="1"/>
  <c r="E703" i="2"/>
  <c r="G703" i="2" s="1"/>
  <c r="E724" i="2"/>
  <c r="G724" i="2" s="1"/>
  <c r="E628" i="2"/>
  <c r="G628" i="2" s="1"/>
  <c r="E686" i="2"/>
  <c r="G686" i="2" s="1"/>
  <c r="E683" i="2"/>
  <c r="G683" i="2" s="1"/>
  <c r="E684" i="2"/>
  <c r="G684" i="2" s="1"/>
  <c r="E681" i="2"/>
  <c r="G681" i="2" s="1"/>
  <c r="E639" i="2"/>
  <c r="G639" i="2" s="1"/>
  <c r="E669" i="2"/>
  <c r="G669" i="2" s="1"/>
  <c r="E650" i="2"/>
  <c r="G650" i="2" s="1"/>
  <c r="E704" i="2"/>
  <c r="G704" i="2" s="1"/>
  <c r="E661" i="2"/>
  <c r="G661" i="2" s="1"/>
  <c r="E633" i="2"/>
  <c r="G633" i="2" s="1"/>
  <c r="E671" i="2"/>
  <c r="G671" i="2" s="1"/>
  <c r="E677" i="2"/>
  <c r="G677" i="2" s="1"/>
  <c r="E644" i="2"/>
  <c r="G644" i="2" s="1"/>
  <c r="E700" i="2"/>
  <c r="G700" i="2" s="1"/>
  <c r="E712" i="2"/>
  <c r="G712" i="2" s="1"/>
  <c r="E629" i="2"/>
  <c r="G629" i="2" s="1"/>
  <c r="E640" i="2"/>
  <c r="G640" i="2" s="1"/>
  <c r="E655" i="2"/>
  <c r="G655" i="2" s="1"/>
  <c r="E707" i="2"/>
  <c r="G707" i="2" s="1"/>
  <c r="E657" i="2"/>
  <c r="G657" i="2" s="1"/>
  <c r="E736" i="2"/>
  <c r="G736" i="2" s="1"/>
  <c r="E713" i="2"/>
  <c r="G713" i="2" s="1"/>
  <c r="E722" i="2"/>
  <c r="G722" i="2" s="1"/>
  <c r="E718" i="2"/>
  <c r="G718" i="2" s="1"/>
  <c r="E732" i="2"/>
  <c r="G732" i="2" s="1"/>
  <c r="E730" i="2"/>
  <c r="G730" i="2" s="1"/>
  <c r="E678" i="2"/>
  <c r="G678" i="2" s="1"/>
  <c r="E658" i="2"/>
  <c r="G658" i="2" s="1"/>
  <c r="E636" i="2"/>
  <c r="G636" i="2" s="1"/>
  <c r="E687" i="2"/>
  <c r="G687" i="2" s="1"/>
  <c r="E733" i="2"/>
  <c r="G733" i="2" s="1"/>
  <c r="E727" i="2"/>
  <c r="G727" i="2" s="1"/>
  <c r="E721" i="2"/>
  <c r="G721" i="2" s="1"/>
  <c r="E705" i="2"/>
  <c r="G705" i="2" s="1"/>
  <c r="E698" i="2"/>
  <c r="G698" i="2" s="1"/>
  <c r="E694" i="2"/>
  <c r="G694" i="2" s="1"/>
  <c r="E682" i="2"/>
  <c r="G682" i="2" s="1"/>
  <c r="E706" i="2"/>
  <c r="G706" i="2" s="1"/>
  <c r="E662" i="2"/>
  <c r="G662" i="2" s="1"/>
  <c r="E711" i="2"/>
  <c r="G711" i="2" s="1"/>
  <c r="E699" i="2"/>
  <c r="G699" i="2" s="1"/>
  <c r="E663" i="2"/>
  <c r="G663" i="2" s="1"/>
  <c r="E627" i="2"/>
  <c r="G627" i="2" s="1"/>
  <c r="E634" i="2"/>
  <c r="G634" i="2" s="1"/>
  <c r="E695" i="2"/>
  <c r="G695" i="2" s="1"/>
  <c r="E667" i="2"/>
  <c r="G667" i="2" s="1"/>
  <c r="E675" i="2"/>
  <c r="G675" i="2" s="1"/>
  <c r="E646" i="2"/>
  <c r="G646" i="2" s="1"/>
  <c r="E693" i="2"/>
  <c r="G693" i="2" s="1"/>
  <c r="E738" i="2"/>
  <c r="G738" i="2" s="1"/>
  <c r="E725" i="2"/>
  <c r="G725" i="2" s="1"/>
  <c r="E735" i="2"/>
  <c r="G735" i="2" s="1"/>
  <c r="E635" i="2"/>
  <c r="G635" i="2" s="1"/>
  <c r="E679" i="2"/>
  <c r="G679" i="2" s="1"/>
  <c r="E638" i="2"/>
  <c r="G638" i="2" s="1"/>
  <c r="E648" i="2"/>
  <c r="G648" i="2" s="1"/>
  <c r="E630" i="2"/>
  <c r="G630" i="2" s="1"/>
  <c r="E710" i="2"/>
  <c r="G710" i="2" s="1"/>
  <c r="E729" i="2"/>
  <c r="G729" i="2" s="1"/>
  <c r="E737" i="2"/>
  <c r="G737" i="2" s="1"/>
  <c r="E719" i="2"/>
  <c r="G719" i="2" s="1"/>
  <c r="E649" i="2"/>
  <c r="G649" i="2" s="1"/>
  <c r="E660" i="2"/>
  <c r="G660" i="2" s="1"/>
  <c r="E697" i="2"/>
  <c r="G697" i="2" s="1"/>
  <c r="E692" i="2"/>
  <c r="G692" i="2" s="1"/>
  <c r="E689" i="2"/>
  <c r="G689" i="2" s="1"/>
  <c r="E632" i="2"/>
  <c r="G632" i="2" s="1"/>
  <c r="E668" i="2"/>
  <c r="G668" i="2" s="1"/>
  <c r="E670" i="2"/>
  <c r="G670" i="2" s="1"/>
  <c r="I6" i="3"/>
  <c r="E653" i="2"/>
  <c r="G653" i="2" s="1"/>
  <c r="E717" i="2"/>
  <c r="G717" i="2" s="1"/>
  <c r="E709" i="2"/>
  <c r="G709" i="2" s="1"/>
  <c r="E720" i="2"/>
  <c r="G720" i="2" s="1"/>
  <c r="E728" i="2"/>
  <c r="G728" i="2" s="1"/>
  <c r="E740" i="2"/>
  <c r="G740" i="2" s="1"/>
  <c r="E647" i="2"/>
  <c r="G647" i="2" s="1"/>
  <c r="E690" i="2"/>
  <c r="G690" i="2" s="1"/>
  <c r="E674" i="2"/>
  <c r="G674" i="2" s="1"/>
  <c r="E665" i="2"/>
  <c r="G665" i="2" s="1"/>
  <c r="E673" i="2"/>
  <c r="G673" i="2" s="1"/>
  <c r="E654" i="2"/>
  <c r="G654" i="2" s="1"/>
  <c r="E701" i="2"/>
  <c r="G701" i="2" s="1"/>
  <c r="E688" i="2"/>
  <c r="G688" i="2" s="1"/>
  <c r="E734" i="2"/>
  <c r="G734" i="2" s="1"/>
  <c r="E723" i="2"/>
  <c r="G723" i="2" s="1"/>
  <c r="U45" i="1"/>
  <c r="Q45" i="1"/>
  <c r="E591" i="2" s="1"/>
  <c r="G591" i="2" s="1"/>
  <c r="D12" i="3"/>
  <c r="H12" i="3" s="1"/>
  <c r="I12" i="3" s="1"/>
  <c r="I8" i="3"/>
  <c r="E582" i="2"/>
  <c r="G582" i="2" s="1"/>
  <c r="G755" i="2"/>
  <c r="J10" i="3" s="1"/>
  <c r="G581" i="2"/>
  <c r="G754" i="2" s="1"/>
  <c r="J9" i="3" s="1"/>
  <c r="T37" i="1"/>
  <c r="E516" i="2" l="1"/>
  <c r="G516" i="2" s="1"/>
  <c r="E524" i="2"/>
  <c r="G524" i="2" s="1"/>
  <c r="E532" i="2"/>
  <c r="G532" i="2" s="1"/>
  <c r="E540" i="2"/>
  <c r="G540" i="2" s="1"/>
  <c r="E511" i="2"/>
  <c r="G511" i="2" s="1"/>
  <c r="E519" i="2"/>
  <c r="G519" i="2" s="1"/>
  <c r="E527" i="2"/>
  <c r="G527" i="2" s="1"/>
  <c r="E535" i="2"/>
  <c r="G535" i="2" s="1"/>
  <c r="E517" i="2"/>
  <c r="G517" i="2" s="1"/>
  <c r="E525" i="2"/>
  <c r="G525" i="2" s="1"/>
  <c r="E533" i="2"/>
  <c r="G533" i="2" s="1"/>
  <c r="E515" i="2"/>
  <c r="G515" i="2" s="1"/>
  <c r="E539" i="2"/>
  <c r="G539" i="2" s="1"/>
  <c r="E510" i="2"/>
  <c r="G510" i="2" s="1"/>
  <c r="E526" i="2"/>
  <c r="G526" i="2" s="1"/>
  <c r="E534" i="2"/>
  <c r="G534" i="2" s="1"/>
  <c r="E513" i="2"/>
  <c r="G513" i="2" s="1"/>
  <c r="E521" i="2"/>
  <c r="G521" i="2" s="1"/>
  <c r="E529" i="2"/>
  <c r="G529" i="2" s="1"/>
  <c r="E514" i="2"/>
  <c r="G514" i="2" s="1"/>
  <c r="E522" i="2"/>
  <c r="G522" i="2" s="1"/>
  <c r="E530" i="2"/>
  <c r="G530" i="2" s="1"/>
  <c r="E512" i="2"/>
  <c r="G512" i="2" s="1"/>
  <c r="E520" i="2"/>
  <c r="G520" i="2" s="1"/>
  <c r="E528" i="2"/>
  <c r="G528" i="2" s="1"/>
  <c r="E536" i="2"/>
  <c r="G536" i="2" s="1"/>
  <c r="E523" i="2"/>
  <c r="G523" i="2" s="1"/>
  <c r="E531" i="2"/>
  <c r="G531" i="2" s="1"/>
  <c r="E518" i="2"/>
  <c r="G518" i="2" s="1"/>
  <c r="E537" i="2"/>
  <c r="G537" i="2" s="1"/>
  <c r="E538" i="2"/>
  <c r="G538" i="2" s="1"/>
  <c r="E451" i="2"/>
  <c r="G451" i="2" s="1"/>
  <c r="E457" i="2"/>
  <c r="G457" i="2" s="1"/>
  <c r="E465" i="2"/>
  <c r="G465" i="2" s="1"/>
  <c r="E473" i="2"/>
  <c r="G473" i="2" s="1"/>
  <c r="E481" i="2"/>
  <c r="G481" i="2" s="1"/>
  <c r="E452" i="2"/>
  <c r="G452" i="2" s="1"/>
  <c r="E460" i="2"/>
  <c r="G460" i="2" s="1"/>
  <c r="E468" i="2"/>
  <c r="G468" i="2" s="1"/>
  <c r="E476" i="2"/>
  <c r="G476" i="2" s="1"/>
  <c r="E462" i="2"/>
  <c r="G462" i="2" s="1"/>
  <c r="E455" i="2"/>
  <c r="G455" i="2" s="1"/>
  <c r="E463" i="2"/>
  <c r="G463" i="2" s="1"/>
  <c r="E471" i="2"/>
  <c r="G471" i="2" s="1"/>
  <c r="E479" i="2"/>
  <c r="G479" i="2" s="1"/>
  <c r="E458" i="2"/>
  <c r="G458" i="2" s="1"/>
  <c r="E466" i="2"/>
  <c r="G466" i="2" s="1"/>
  <c r="E474" i="2"/>
  <c r="G474" i="2" s="1"/>
  <c r="E467" i="2"/>
  <c r="G467" i="2" s="1"/>
  <c r="E475" i="2"/>
  <c r="G475" i="2" s="1"/>
  <c r="E454" i="2"/>
  <c r="G454" i="2" s="1"/>
  <c r="E478" i="2"/>
  <c r="G478" i="2" s="1"/>
  <c r="E453" i="2"/>
  <c r="G453" i="2" s="1"/>
  <c r="E461" i="2"/>
  <c r="G461" i="2" s="1"/>
  <c r="E469" i="2"/>
  <c r="G469" i="2" s="1"/>
  <c r="E477" i="2"/>
  <c r="G477" i="2" s="1"/>
  <c r="E456" i="2"/>
  <c r="G456" i="2" s="1"/>
  <c r="E464" i="2"/>
  <c r="G464" i="2" s="1"/>
  <c r="E472" i="2"/>
  <c r="G472" i="2" s="1"/>
  <c r="E480" i="2"/>
  <c r="G480" i="2" s="1"/>
  <c r="E459" i="2"/>
  <c r="G459" i="2" s="1"/>
  <c r="E470" i="2"/>
  <c r="G470" i="2" s="1"/>
  <c r="E491" i="2"/>
  <c r="G491" i="2" s="1"/>
  <c r="E486" i="2"/>
  <c r="G486" i="2" s="1"/>
  <c r="E485" i="2"/>
  <c r="G485" i="2" s="1"/>
  <c r="E488" i="2"/>
  <c r="G488" i="2" s="1"/>
  <c r="E489" i="2"/>
  <c r="G489" i="2" s="1"/>
  <c r="E487" i="2"/>
  <c r="G487" i="2" s="1"/>
  <c r="E490" i="2"/>
  <c r="G490" i="2" s="1"/>
  <c r="E439" i="2"/>
  <c r="G439" i="2" s="1"/>
  <c r="E450" i="2"/>
  <c r="G450" i="2" s="1"/>
  <c r="E498" i="2"/>
  <c r="G498" i="2" s="1"/>
  <c r="E506" i="2"/>
  <c r="G506" i="2" s="1"/>
  <c r="E448" i="2"/>
  <c r="G448" i="2" s="1"/>
  <c r="E504" i="2"/>
  <c r="G504" i="2" s="1"/>
  <c r="E482" i="2"/>
  <c r="G482" i="2" s="1"/>
  <c r="E499" i="2"/>
  <c r="G499" i="2" s="1"/>
  <c r="E445" i="2"/>
  <c r="G445" i="2" s="1"/>
  <c r="E484" i="2"/>
  <c r="G484" i="2" s="1"/>
  <c r="E493" i="2"/>
  <c r="G493" i="2" s="1"/>
  <c r="E501" i="2"/>
  <c r="G501" i="2" s="1"/>
  <c r="E509" i="2"/>
  <c r="G509" i="2" s="1"/>
  <c r="E496" i="2"/>
  <c r="G496" i="2" s="1"/>
  <c r="E507" i="2"/>
  <c r="G507" i="2" s="1"/>
  <c r="E500" i="2"/>
  <c r="G500" i="2" s="1"/>
  <c r="E447" i="2"/>
  <c r="G447" i="2" s="1"/>
  <c r="E503" i="2"/>
  <c r="G503" i="2" s="1"/>
  <c r="E446" i="2"/>
  <c r="G446" i="2" s="1"/>
  <c r="E494" i="2"/>
  <c r="G494" i="2" s="1"/>
  <c r="E502" i="2"/>
  <c r="G502" i="2" s="1"/>
  <c r="E449" i="2"/>
  <c r="G449" i="2" s="1"/>
  <c r="E497" i="2"/>
  <c r="G497" i="2" s="1"/>
  <c r="E505" i="2"/>
  <c r="G505" i="2" s="1"/>
  <c r="E444" i="2"/>
  <c r="G444" i="2" s="1"/>
  <c r="E483" i="2"/>
  <c r="G483" i="2" s="1"/>
  <c r="E492" i="2"/>
  <c r="G492" i="2" s="1"/>
  <c r="E508" i="2"/>
  <c r="G508" i="2" s="1"/>
  <c r="E495" i="2"/>
  <c r="G495" i="2" s="1"/>
  <c r="E85" i="2"/>
  <c r="G85" i="2" s="1"/>
  <c r="E130" i="2"/>
  <c r="G130" i="2" s="1"/>
  <c r="E243" i="2"/>
  <c r="G243" i="2" s="1"/>
  <c r="E172" i="2"/>
  <c r="G172" i="2" s="1"/>
  <c r="E371" i="2"/>
  <c r="G371" i="2" s="1"/>
  <c r="E48" i="2"/>
  <c r="G48" i="2" s="1"/>
  <c r="E196" i="2"/>
  <c r="G196" i="2" s="1"/>
  <c r="E281" i="2"/>
  <c r="G281" i="2" s="1"/>
  <c r="E328" i="2"/>
  <c r="G328" i="2" s="1"/>
  <c r="E290" i="2"/>
  <c r="G290" i="2" s="1"/>
  <c r="E222" i="2"/>
  <c r="G222" i="2" s="1"/>
  <c r="E49" i="2"/>
  <c r="G49" i="2" s="1"/>
  <c r="E176" i="2"/>
  <c r="G176" i="2" s="1"/>
  <c r="E191" i="2"/>
  <c r="G191" i="2" s="1"/>
  <c r="E205" i="2"/>
  <c r="G205" i="2" s="1"/>
  <c r="E334" i="2"/>
  <c r="G334" i="2" s="1"/>
  <c r="E9" i="2"/>
  <c r="G9" i="2" s="1"/>
  <c r="E289" i="2"/>
  <c r="G289" i="2" s="1"/>
  <c r="E329" i="2"/>
  <c r="G329" i="2" s="1"/>
  <c r="E56" i="2"/>
  <c r="G56" i="2" s="1"/>
  <c r="E304" i="2"/>
  <c r="G304" i="2" s="1"/>
  <c r="E180" i="2"/>
  <c r="G180" i="2" s="1"/>
  <c r="E27" i="2"/>
  <c r="G27" i="2" s="1"/>
  <c r="E166" i="2"/>
  <c r="G166" i="2" s="1"/>
  <c r="E129" i="2"/>
  <c r="G129" i="2" s="1"/>
  <c r="E224" i="2"/>
  <c r="G224" i="2" s="1"/>
  <c r="E147" i="2"/>
  <c r="G147" i="2" s="1"/>
  <c r="E211" i="2"/>
  <c r="G211" i="2" s="1"/>
  <c r="E114" i="2"/>
  <c r="G114" i="2" s="1"/>
  <c r="E421" i="2"/>
  <c r="G421" i="2" s="1"/>
  <c r="E4" i="2"/>
  <c r="G4" i="2" s="1"/>
  <c r="E7" i="2"/>
  <c r="G7" i="2" s="1"/>
  <c r="E352" i="2"/>
  <c r="G352" i="2" s="1"/>
  <c r="E428" i="2"/>
  <c r="G428" i="2" s="1"/>
  <c r="E171" i="2"/>
  <c r="G171" i="2" s="1"/>
  <c r="E181" i="2"/>
  <c r="G181" i="2" s="1"/>
  <c r="E70" i="2"/>
  <c r="G70" i="2" s="1"/>
  <c r="E57" i="2"/>
  <c r="G57" i="2" s="1"/>
  <c r="E61" i="2"/>
  <c r="G61" i="2" s="1"/>
  <c r="E68" i="2"/>
  <c r="G68" i="2" s="1"/>
  <c r="E21" i="2"/>
  <c r="G21" i="2" s="1"/>
  <c r="E294" i="2"/>
  <c r="G294" i="2" s="1"/>
  <c r="E74" i="2"/>
  <c r="G74" i="2" s="1"/>
  <c r="E165" i="2"/>
  <c r="G165" i="2" s="1"/>
  <c r="E337" i="2"/>
  <c r="G337" i="2" s="1"/>
  <c r="E335" i="2"/>
  <c r="G335" i="2" s="1"/>
  <c r="E313" i="2"/>
  <c r="G313" i="2" s="1"/>
  <c r="E5" i="2"/>
  <c r="G5" i="2" s="1"/>
  <c r="E152" i="2"/>
  <c r="G152" i="2" s="1"/>
  <c r="E312" i="2"/>
  <c r="G312" i="2" s="1"/>
  <c r="E225" i="2"/>
  <c r="G225" i="2" s="1"/>
  <c r="E295" i="2"/>
  <c r="G295" i="2" s="1"/>
  <c r="E10" i="2"/>
  <c r="G10" i="2" s="1"/>
  <c r="E277" i="2"/>
  <c r="G277" i="2" s="1"/>
  <c r="E293" i="2"/>
  <c r="G293" i="2" s="1"/>
  <c r="E119" i="2"/>
  <c r="G119" i="2" s="1"/>
  <c r="E343" i="2"/>
  <c r="G343" i="2" s="1"/>
  <c r="E142" i="2"/>
  <c r="G142" i="2" s="1"/>
  <c r="E308" i="2"/>
  <c r="G308" i="2" s="1"/>
  <c r="E66" i="2"/>
  <c r="G66" i="2" s="1"/>
  <c r="E246" i="2"/>
  <c r="G246" i="2" s="1"/>
  <c r="E144" i="2"/>
  <c r="G144" i="2" s="1"/>
  <c r="E195" i="2"/>
  <c r="G195" i="2" s="1"/>
  <c r="E262" i="2"/>
  <c r="G262" i="2" s="1"/>
  <c r="E39" i="2"/>
  <c r="G39" i="2" s="1"/>
  <c r="E217" i="2"/>
  <c r="G217" i="2" s="1"/>
  <c r="E316" i="2"/>
  <c r="G316" i="2" s="1"/>
  <c r="E280" i="2"/>
  <c r="G280" i="2" s="1"/>
  <c r="E184" i="2"/>
  <c r="G184" i="2" s="1"/>
  <c r="E297" i="2"/>
  <c r="G297" i="2" s="1"/>
  <c r="E245" i="2"/>
  <c r="G245" i="2" s="1"/>
  <c r="E204" i="2"/>
  <c r="G204" i="2" s="1"/>
  <c r="E126" i="2"/>
  <c r="G126" i="2" s="1"/>
  <c r="E124" i="2"/>
  <c r="G124" i="2" s="1"/>
  <c r="E96" i="2"/>
  <c r="G96" i="2" s="1"/>
  <c r="E346" i="2"/>
  <c r="G346" i="2" s="1"/>
  <c r="E253" i="2"/>
  <c r="G253" i="2" s="1"/>
  <c r="E169" i="2"/>
  <c r="G169" i="2" s="1"/>
  <c r="E131" i="2"/>
  <c r="G131" i="2" s="1"/>
  <c r="E106" i="2"/>
  <c r="G106" i="2" s="1"/>
  <c r="E410" i="2"/>
  <c r="G410" i="2" s="1"/>
  <c r="E234" i="2"/>
  <c r="G234" i="2" s="1"/>
  <c r="E148" i="2"/>
  <c r="G148" i="2" s="1"/>
  <c r="E288" i="2"/>
  <c r="G288" i="2" s="1"/>
  <c r="E18" i="2"/>
  <c r="G18" i="2" s="1"/>
  <c r="E133" i="2"/>
  <c r="G133" i="2" s="1"/>
  <c r="E188" i="2"/>
  <c r="G188" i="2" s="1"/>
  <c r="E3" i="2"/>
  <c r="G3" i="2" s="1"/>
  <c r="E330" i="2"/>
  <c r="G330" i="2" s="1"/>
  <c r="E285" i="2"/>
  <c r="G285" i="2" s="1"/>
  <c r="E221" i="2"/>
  <c r="G221" i="2" s="1"/>
  <c r="E190" i="2"/>
  <c r="G190" i="2" s="1"/>
  <c r="E121" i="2"/>
  <c r="G121" i="2" s="1"/>
  <c r="E117" i="2"/>
  <c r="G117" i="2" s="1"/>
  <c r="E392" i="2"/>
  <c r="G392" i="2" s="1"/>
  <c r="E252" i="2"/>
  <c r="G252" i="2" s="1"/>
  <c r="E134" i="2"/>
  <c r="G134" i="2" s="1"/>
  <c r="E59" i="2"/>
  <c r="G59" i="2" s="1"/>
  <c r="E265" i="2"/>
  <c r="G265" i="2" s="1"/>
  <c r="E283" i="2"/>
  <c r="G283" i="2" s="1"/>
  <c r="E143" i="2"/>
  <c r="G143" i="2" s="1"/>
  <c r="E42" i="2"/>
  <c r="G42" i="2" s="1"/>
  <c r="E25" i="2"/>
  <c r="G25" i="2" s="1"/>
  <c r="E182" i="2"/>
  <c r="G182" i="2" s="1"/>
  <c r="E339" i="2"/>
  <c r="G339" i="2" s="1"/>
  <c r="E193" i="2"/>
  <c r="G193" i="2" s="1"/>
  <c r="E192" i="2"/>
  <c r="G192" i="2" s="1"/>
  <c r="E244" i="2"/>
  <c r="G244" i="2" s="1"/>
  <c r="E46" i="2"/>
  <c r="G46" i="2" s="1"/>
  <c r="E286" i="2"/>
  <c r="G286" i="2" s="1"/>
  <c r="E269" i="2"/>
  <c r="G269" i="2" s="1"/>
  <c r="E208" i="2"/>
  <c r="G208" i="2" s="1"/>
  <c r="E127" i="2"/>
  <c r="G127" i="2" s="1"/>
  <c r="E229" i="2"/>
  <c r="G229" i="2" s="1"/>
  <c r="E145" i="2"/>
  <c r="G145" i="2" s="1"/>
  <c r="E62" i="2"/>
  <c r="G62" i="2" s="1"/>
  <c r="E93" i="2"/>
  <c r="G93" i="2" s="1"/>
  <c r="E324" i="2"/>
  <c r="G324" i="2" s="1"/>
  <c r="E257" i="2"/>
  <c r="G257" i="2" s="1"/>
  <c r="E200" i="2"/>
  <c r="G200" i="2" s="1"/>
  <c r="E333" i="2"/>
  <c r="G333" i="2" s="1"/>
  <c r="E178" i="2"/>
  <c r="G178" i="2" s="1"/>
  <c r="E151" i="2"/>
  <c r="G151" i="2" s="1"/>
  <c r="E336" i="2"/>
  <c r="G336" i="2" s="1"/>
  <c r="E240" i="2"/>
  <c r="G240" i="2" s="1"/>
  <c r="E315" i="2"/>
  <c r="G315" i="2" s="1"/>
  <c r="E279" i="2"/>
  <c r="G279" i="2" s="1"/>
  <c r="E14" i="2"/>
  <c r="G14" i="2" s="1"/>
  <c r="E274" i="2"/>
  <c r="G274" i="2" s="1"/>
  <c r="E197" i="2"/>
  <c r="G197" i="2" s="1"/>
  <c r="E40" i="2"/>
  <c r="G40" i="2" s="1"/>
  <c r="E299" i="2"/>
  <c r="G299" i="2" s="1"/>
  <c r="E226" i="2"/>
  <c r="G226" i="2" s="1"/>
  <c r="E140" i="2"/>
  <c r="G140" i="2" s="1"/>
  <c r="E69" i="2"/>
  <c r="G69" i="2" s="1"/>
  <c r="E194" i="2"/>
  <c r="G194" i="2" s="1"/>
  <c r="E41" i="2"/>
  <c r="G41" i="2" s="1"/>
  <c r="E239" i="2"/>
  <c r="G239" i="2" s="1"/>
  <c r="E22" i="2"/>
  <c r="G22" i="2" s="1"/>
  <c r="E55" i="2"/>
  <c r="G55" i="2" s="1"/>
  <c r="E298" i="2"/>
  <c r="G298" i="2" s="1"/>
  <c r="E177" i="2"/>
  <c r="G177" i="2" s="1"/>
  <c r="E160" i="2"/>
  <c r="G160" i="2" s="1"/>
  <c r="E63" i="2"/>
  <c r="G63" i="2" s="1"/>
  <c r="E341" i="2"/>
  <c r="G341" i="2" s="1"/>
  <c r="E201" i="2"/>
  <c r="G201" i="2" s="1"/>
  <c r="E139" i="2"/>
  <c r="G139" i="2" s="1"/>
  <c r="E136" i="2"/>
  <c r="G136" i="2" s="1"/>
  <c r="E51" i="2"/>
  <c r="G51" i="2" s="1"/>
  <c r="E233" i="2"/>
  <c r="G233" i="2" s="1"/>
  <c r="E203" i="2"/>
  <c r="G203" i="2" s="1"/>
  <c r="E202" i="2"/>
  <c r="G202" i="2" s="1"/>
  <c r="E161" i="2"/>
  <c r="G161" i="2" s="1"/>
  <c r="E113" i="2"/>
  <c r="G113" i="2" s="1"/>
  <c r="E81" i="2"/>
  <c r="G81" i="2" s="1"/>
  <c r="E102" i="2"/>
  <c r="G102" i="2" s="1"/>
  <c r="E123" i="2"/>
  <c r="G123" i="2" s="1"/>
  <c r="E115" i="2"/>
  <c r="G115" i="2" s="1"/>
  <c r="E92" i="2"/>
  <c r="G92" i="2" s="1"/>
  <c r="E323" i="2"/>
  <c r="G323" i="2" s="1"/>
  <c r="E321" i="2"/>
  <c r="G321" i="2" s="1"/>
  <c r="E405" i="2"/>
  <c r="G405" i="2" s="1"/>
  <c r="E362" i="2"/>
  <c r="G362" i="2" s="1"/>
  <c r="E414" i="2"/>
  <c r="G414" i="2" s="1"/>
  <c r="E361" i="2"/>
  <c r="G361" i="2" s="1"/>
  <c r="E350" i="2"/>
  <c r="G350" i="2" s="1"/>
  <c r="E429" i="2"/>
  <c r="G429" i="2" s="1"/>
  <c r="E401" i="2"/>
  <c r="G401" i="2" s="1"/>
  <c r="E391" i="2"/>
  <c r="G391" i="2" s="1"/>
  <c r="E53" i="2"/>
  <c r="G53" i="2" s="1"/>
  <c r="E179" i="2"/>
  <c r="G179" i="2" s="1"/>
  <c r="E12" i="2"/>
  <c r="G12" i="2" s="1"/>
  <c r="E260" i="2"/>
  <c r="G260" i="2" s="1"/>
  <c r="E273" i="2"/>
  <c r="G273" i="2" s="1"/>
  <c r="E199" i="2"/>
  <c r="G199" i="2" s="1"/>
  <c r="E174" i="2"/>
  <c r="G174" i="2" s="1"/>
  <c r="E162" i="2"/>
  <c r="G162" i="2" s="1"/>
  <c r="E6" i="2"/>
  <c r="G6" i="2" s="1"/>
  <c r="E210" i="2"/>
  <c r="G210" i="2" s="1"/>
  <c r="E183" i="2"/>
  <c r="G183" i="2" s="1"/>
  <c r="E15" i="2"/>
  <c r="G15" i="2" s="1"/>
  <c r="E302" i="2"/>
  <c r="G302" i="2" s="1"/>
  <c r="E37" i="2"/>
  <c r="G37" i="2" s="1"/>
  <c r="I11" i="3"/>
  <c r="E146" i="2"/>
  <c r="G146" i="2" s="1"/>
  <c r="E331" i="2"/>
  <c r="G331" i="2" s="1"/>
  <c r="E218" i="2"/>
  <c r="G218" i="2" s="1"/>
  <c r="E164" i="2"/>
  <c r="G164" i="2" s="1"/>
  <c r="E45" i="2"/>
  <c r="G45" i="2" s="1"/>
  <c r="E216" i="2"/>
  <c r="G216" i="2" s="1"/>
  <c r="E300" i="2"/>
  <c r="G300" i="2" s="1"/>
  <c r="E284" i="2"/>
  <c r="G284" i="2" s="1"/>
  <c r="E209" i="2"/>
  <c r="G209" i="2" s="1"/>
  <c r="E16" i="2"/>
  <c r="G16" i="2" s="1"/>
  <c r="E155" i="2"/>
  <c r="G155" i="2" s="1"/>
  <c r="E270" i="2"/>
  <c r="G270" i="2" s="1"/>
  <c r="E248" i="2"/>
  <c r="G248" i="2" s="1"/>
  <c r="E309" i="2"/>
  <c r="G309" i="2" s="1"/>
  <c r="E220" i="2"/>
  <c r="G220" i="2" s="1"/>
  <c r="E219" i="2"/>
  <c r="G219" i="2" s="1"/>
  <c r="E35" i="2"/>
  <c r="G35" i="2" s="1"/>
  <c r="E267" i="2"/>
  <c r="G267" i="2" s="1"/>
  <c r="E275" i="2"/>
  <c r="G275" i="2" s="1"/>
  <c r="E109" i="2"/>
  <c r="G109" i="2" s="1"/>
  <c r="E77" i="2"/>
  <c r="G77" i="2" s="1"/>
  <c r="E98" i="2"/>
  <c r="G98" i="2" s="1"/>
  <c r="E103" i="2"/>
  <c r="G103" i="2" s="1"/>
  <c r="E111" i="2"/>
  <c r="G111" i="2" s="1"/>
  <c r="E88" i="2"/>
  <c r="G88" i="2" s="1"/>
  <c r="E320" i="2"/>
  <c r="G320" i="2" s="1"/>
  <c r="E326" i="2"/>
  <c r="G326" i="2" s="1"/>
  <c r="E407" i="2"/>
  <c r="G407" i="2" s="1"/>
  <c r="E366" i="2"/>
  <c r="G366" i="2" s="1"/>
  <c r="E416" i="2"/>
  <c r="G416" i="2" s="1"/>
  <c r="E353" i="2"/>
  <c r="G353" i="2" s="1"/>
  <c r="E356" i="2"/>
  <c r="G356" i="2" s="1"/>
  <c r="E430" i="2"/>
  <c r="G430" i="2" s="1"/>
  <c r="E397" i="2"/>
  <c r="G397" i="2" s="1"/>
  <c r="E383" i="2"/>
  <c r="G383" i="2" s="1"/>
  <c r="G747" i="2"/>
  <c r="G751" i="2" s="1"/>
  <c r="J6" i="3" s="1"/>
  <c r="E34" i="2"/>
  <c r="G34" i="2" s="1"/>
  <c r="E153" i="2"/>
  <c r="G153" i="2" s="1"/>
  <c r="E31" i="2"/>
  <c r="G31" i="2" s="1"/>
  <c r="E58" i="2"/>
  <c r="G58" i="2" s="1"/>
  <c r="E232" i="2"/>
  <c r="G232" i="2" s="1"/>
  <c r="E105" i="2"/>
  <c r="G105" i="2" s="1"/>
  <c r="E94" i="2"/>
  <c r="G94" i="2" s="1"/>
  <c r="E116" i="2"/>
  <c r="G116" i="2" s="1"/>
  <c r="E84" i="2"/>
  <c r="G84" i="2" s="1"/>
  <c r="E318" i="2"/>
  <c r="G318" i="2" s="1"/>
  <c r="E368" i="2"/>
  <c r="G368" i="2" s="1"/>
  <c r="E418" i="2"/>
  <c r="G418" i="2" s="1"/>
  <c r="E345" i="2"/>
  <c r="G345" i="2" s="1"/>
  <c r="E348" i="2"/>
  <c r="G348" i="2" s="1"/>
  <c r="E431" i="2"/>
  <c r="G431" i="2" s="1"/>
  <c r="E389" i="2"/>
  <c r="G389" i="2" s="1"/>
  <c r="E187" i="2"/>
  <c r="G187" i="2" s="1"/>
  <c r="E250" i="2"/>
  <c r="G250" i="2" s="1"/>
  <c r="E266" i="2"/>
  <c r="G266" i="2" s="1"/>
  <c r="E332" i="2"/>
  <c r="G332" i="2" s="1"/>
  <c r="E303" i="2"/>
  <c r="G303" i="2" s="1"/>
  <c r="E242" i="2"/>
  <c r="G242" i="2" s="1"/>
  <c r="E259" i="2"/>
  <c r="G259" i="2" s="1"/>
  <c r="E228" i="2"/>
  <c r="G228" i="2" s="1"/>
  <c r="E156" i="2"/>
  <c r="G156" i="2" s="1"/>
  <c r="E258" i="2"/>
  <c r="G258" i="2" s="1"/>
  <c r="E158" i="2"/>
  <c r="G158" i="2" s="1"/>
  <c r="E26" i="2"/>
  <c r="G26" i="2" s="1"/>
  <c r="E65" i="2"/>
  <c r="G65" i="2" s="1"/>
  <c r="E301" i="2"/>
  <c r="G301" i="2" s="1"/>
  <c r="E32" i="2"/>
  <c r="G32" i="2" s="1"/>
  <c r="E29" i="2"/>
  <c r="G29" i="2" s="1"/>
  <c r="E44" i="2"/>
  <c r="G44" i="2" s="1"/>
  <c r="E214" i="2"/>
  <c r="G214" i="2" s="1"/>
  <c r="E207" i="2"/>
  <c r="G207" i="2" s="1"/>
  <c r="E132" i="2"/>
  <c r="G132" i="2" s="1"/>
  <c r="E287" i="2"/>
  <c r="G287" i="2" s="1"/>
  <c r="E11" i="2"/>
  <c r="G11" i="2" s="1"/>
  <c r="E154" i="2"/>
  <c r="G154" i="2" s="1"/>
  <c r="E23" i="2"/>
  <c r="G23" i="2" s="1"/>
  <c r="E163" i="2"/>
  <c r="G163" i="2" s="1"/>
  <c r="E223" i="2"/>
  <c r="G223" i="2" s="1"/>
  <c r="E125" i="2"/>
  <c r="G125" i="2" s="1"/>
  <c r="E20" i="2"/>
  <c r="G20" i="2" s="1"/>
  <c r="E43" i="2"/>
  <c r="G43" i="2" s="1"/>
  <c r="E263" i="2"/>
  <c r="G263" i="2" s="1"/>
  <c r="E307" i="2"/>
  <c r="G307" i="2" s="1"/>
  <c r="E149" i="2"/>
  <c r="G149" i="2" s="1"/>
  <c r="E186" i="2"/>
  <c r="G186" i="2" s="1"/>
  <c r="E167" i="2"/>
  <c r="G167" i="2" s="1"/>
  <c r="E101" i="2"/>
  <c r="G101" i="2" s="1"/>
  <c r="E122" i="2"/>
  <c r="G122" i="2" s="1"/>
  <c r="E90" i="2"/>
  <c r="G90" i="2" s="1"/>
  <c r="E87" i="2"/>
  <c r="G87" i="2" s="1"/>
  <c r="E112" i="2"/>
  <c r="G112" i="2" s="1"/>
  <c r="E80" i="2"/>
  <c r="G80" i="2" s="1"/>
  <c r="E327" i="2"/>
  <c r="G327" i="2" s="1"/>
  <c r="E363" i="2"/>
  <c r="G363" i="2" s="1"/>
  <c r="E413" i="2"/>
  <c r="G413" i="2" s="1"/>
  <c r="E370" i="2"/>
  <c r="G370" i="2" s="1"/>
  <c r="E420" i="2"/>
  <c r="G420" i="2" s="1"/>
  <c r="E344" i="2"/>
  <c r="G344" i="2" s="1"/>
  <c r="E360" i="2"/>
  <c r="G360" i="2" s="1"/>
  <c r="E402" i="2"/>
  <c r="G402" i="2" s="1"/>
  <c r="E380" i="2"/>
  <c r="G380" i="2" s="1"/>
  <c r="E212" i="2"/>
  <c r="G212" i="2" s="1"/>
  <c r="E73" i="2"/>
  <c r="G73" i="2" s="1"/>
  <c r="E95" i="2"/>
  <c r="G95" i="2" s="1"/>
  <c r="E325" i="2"/>
  <c r="G325" i="2" s="1"/>
  <c r="E411" i="2"/>
  <c r="G411" i="2" s="1"/>
  <c r="E404" i="2"/>
  <c r="G404" i="2" s="1"/>
  <c r="E52" i="2"/>
  <c r="G52" i="2" s="1"/>
  <c r="E256" i="2"/>
  <c r="G256" i="2" s="1"/>
  <c r="E170" i="2"/>
  <c r="G170" i="2" s="1"/>
  <c r="E135" i="2"/>
  <c r="G135" i="2" s="1"/>
  <c r="E338" i="2"/>
  <c r="G338" i="2" s="1"/>
  <c r="E306" i="2"/>
  <c r="G306" i="2" s="1"/>
  <c r="E236" i="2"/>
  <c r="G236" i="2" s="1"/>
  <c r="E60" i="2"/>
  <c r="G60" i="2" s="1"/>
  <c r="E67" i="2"/>
  <c r="G67" i="2" s="1"/>
  <c r="E150" i="2"/>
  <c r="G150" i="2" s="1"/>
  <c r="E175" i="2"/>
  <c r="G175" i="2" s="1"/>
  <c r="E28" i="2"/>
  <c r="G28" i="2" s="1"/>
  <c r="E282" i="2"/>
  <c r="G282" i="2" s="1"/>
  <c r="E50" i="2"/>
  <c r="G50" i="2" s="1"/>
  <c r="E278" i="2"/>
  <c r="G278" i="2" s="1"/>
  <c r="E198" i="2"/>
  <c r="G198" i="2" s="1"/>
  <c r="E276" i="2"/>
  <c r="G276" i="2" s="1"/>
  <c r="E173" i="2"/>
  <c r="G173" i="2" s="1"/>
  <c r="E340" i="2"/>
  <c r="G340" i="2" s="1"/>
  <c r="E310" i="2"/>
  <c r="G310" i="2" s="1"/>
  <c r="E47" i="2"/>
  <c r="G47" i="2" s="1"/>
  <c r="E249" i="2"/>
  <c r="G249" i="2" s="1"/>
  <c r="E38" i="2"/>
  <c r="G38" i="2" s="1"/>
  <c r="E261" i="2"/>
  <c r="G261" i="2" s="1"/>
  <c r="E141" i="2"/>
  <c r="G141" i="2" s="1"/>
  <c r="E19" i="2"/>
  <c r="G19" i="2" s="1"/>
  <c r="E24" i="2"/>
  <c r="G24" i="2" s="1"/>
  <c r="E33" i="2"/>
  <c r="G33" i="2" s="1"/>
  <c r="E271" i="2"/>
  <c r="G271" i="2" s="1"/>
  <c r="E168" i="2"/>
  <c r="G168" i="2" s="1"/>
  <c r="E237" i="2"/>
  <c r="G237" i="2" s="1"/>
  <c r="E291" i="2"/>
  <c r="G291" i="2" s="1"/>
  <c r="E215" i="2"/>
  <c r="G215" i="2" s="1"/>
  <c r="E247" i="2"/>
  <c r="G247" i="2" s="1"/>
  <c r="E230" i="2"/>
  <c r="G230" i="2" s="1"/>
  <c r="E107" i="2"/>
  <c r="G107" i="2" s="1"/>
  <c r="E97" i="2"/>
  <c r="G97" i="2" s="1"/>
  <c r="E118" i="2"/>
  <c r="G118" i="2" s="1"/>
  <c r="E86" i="2"/>
  <c r="G86" i="2" s="1"/>
  <c r="E83" i="2"/>
  <c r="G83" i="2" s="1"/>
  <c r="E108" i="2"/>
  <c r="G108" i="2" s="1"/>
  <c r="E76" i="2"/>
  <c r="G76" i="2" s="1"/>
  <c r="E319" i="2"/>
  <c r="G319" i="2" s="1"/>
  <c r="E365" i="2"/>
  <c r="G365" i="2" s="1"/>
  <c r="E415" i="2"/>
  <c r="G415" i="2" s="1"/>
  <c r="E372" i="2"/>
  <c r="G372" i="2" s="1"/>
  <c r="E422" i="2"/>
  <c r="G422" i="2" s="1"/>
  <c r="E359" i="2"/>
  <c r="G359" i="2" s="1"/>
  <c r="E347" i="2"/>
  <c r="G347" i="2" s="1"/>
  <c r="E394" i="2"/>
  <c r="G394" i="2" s="1"/>
  <c r="E390" i="2"/>
  <c r="G390" i="2" s="1"/>
  <c r="E82" i="2"/>
  <c r="G82" i="2" s="1"/>
  <c r="E79" i="2"/>
  <c r="G79" i="2" s="1"/>
  <c r="E104" i="2"/>
  <c r="G104" i="2" s="1"/>
  <c r="E99" i="2"/>
  <c r="G99" i="2" s="1"/>
  <c r="E317" i="2"/>
  <c r="G317" i="2" s="1"/>
  <c r="E367" i="2"/>
  <c r="G367" i="2" s="1"/>
  <c r="E417" i="2"/>
  <c r="G417" i="2" s="1"/>
  <c r="E406" i="2"/>
  <c r="G406" i="2" s="1"/>
  <c r="E423" i="2"/>
  <c r="G423" i="2" s="1"/>
  <c r="E349" i="2"/>
  <c r="G349" i="2" s="1"/>
  <c r="E358" i="2"/>
  <c r="G358" i="2" s="1"/>
  <c r="E426" i="2"/>
  <c r="G426" i="2" s="1"/>
  <c r="E386" i="2"/>
  <c r="G386" i="2" s="1"/>
  <c r="E403" i="2"/>
  <c r="G403" i="2" s="1"/>
  <c r="E64" i="2"/>
  <c r="G64" i="2" s="1"/>
  <c r="E213" i="2"/>
  <c r="G213" i="2" s="1"/>
  <c r="E311" i="2"/>
  <c r="G311" i="2" s="1"/>
  <c r="E185" i="2"/>
  <c r="G185" i="2" s="1"/>
  <c r="E17" i="2"/>
  <c r="G17" i="2" s="1"/>
  <c r="E305" i="2"/>
  <c r="G305" i="2" s="1"/>
  <c r="E227" i="2"/>
  <c r="G227" i="2" s="1"/>
  <c r="E138" i="2"/>
  <c r="G138" i="2" s="1"/>
  <c r="E255" i="2"/>
  <c r="G255" i="2" s="1"/>
  <c r="E206" i="2"/>
  <c r="G206" i="2" s="1"/>
  <c r="E137" i="2"/>
  <c r="G137" i="2" s="1"/>
  <c r="E30" i="2"/>
  <c r="G30" i="2" s="1"/>
  <c r="E128" i="2"/>
  <c r="G128" i="2" s="1"/>
  <c r="E13" i="2"/>
  <c r="G13" i="2" s="1"/>
  <c r="E72" i="2"/>
  <c r="G72" i="2" s="1"/>
  <c r="E268" i="2"/>
  <c r="G268" i="2" s="1"/>
  <c r="E756" i="2"/>
  <c r="E189" i="2"/>
  <c r="G189" i="2" s="1"/>
  <c r="E71" i="2"/>
  <c r="G71" i="2" s="1"/>
  <c r="E238" i="2"/>
  <c r="G238" i="2" s="1"/>
  <c r="E157" i="2"/>
  <c r="G157" i="2" s="1"/>
  <c r="E231" i="2"/>
  <c r="G231" i="2" s="1"/>
  <c r="E296" i="2"/>
  <c r="G296" i="2" s="1"/>
  <c r="E314" i="2"/>
  <c r="G314" i="2" s="1"/>
  <c r="E36" i="2"/>
  <c r="G36" i="2" s="1"/>
  <c r="E241" i="2"/>
  <c r="G241" i="2" s="1"/>
  <c r="E235" i="2"/>
  <c r="G235" i="2" s="1"/>
  <c r="E54" i="2"/>
  <c r="G54" i="2" s="1"/>
  <c r="E251" i="2"/>
  <c r="G251" i="2" s="1"/>
  <c r="E254" i="2"/>
  <c r="G254" i="2" s="1"/>
  <c r="E264" i="2"/>
  <c r="G264" i="2" s="1"/>
  <c r="E292" i="2"/>
  <c r="G292" i="2" s="1"/>
  <c r="E8" i="2"/>
  <c r="G8" i="2" s="1"/>
  <c r="E159" i="2"/>
  <c r="G159" i="2" s="1"/>
  <c r="E272" i="2"/>
  <c r="G272" i="2" s="1"/>
  <c r="E120" i="2"/>
  <c r="G120" i="2" s="1"/>
  <c r="E89" i="2"/>
  <c r="G89" i="2" s="1"/>
  <c r="E110" i="2"/>
  <c r="G110" i="2" s="1"/>
  <c r="E78" i="2"/>
  <c r="G78" i="2" s="1"/>
  <c r="E75" i="2"/>
  <c r="G75" i="2" s="1"/>
  <c r="E100" i="2"/>
  <c r="G100" i="2" s="1"/>
  <c r="E91" i="2"/>
  <c r="G91" i="2" s="1"/>
  <c r="E322" i="2"/>
  <c r="G322" i="2" s="1"/>
  <c r="E369" i="2"/>
  <c r="G369" i="2" s="1"/>
  <c r="E419" i="2"/>
  <c r="G419" i="2" s="1"/>
  <c r="E408" i="2"/>
  <c r="G408" i="2" s="1"/>
  <c r="E424" i="2"/>
  <c r="G424" i="2" s="1"/>
  <c r="E351" i="2"/>
  <c r="G351" i="2" s="1"/>
  <c r="E354" i="2"/>
  <c r="G354" i="2" s="1"/>
  <c r="E427" i="2"/>
  <c r="G427" i="2" s="1"/>
  <c r="E393" i="2"/>
  <c r="G393" i="2" s="1"/>
  <c r="E374" i="2"/>
  <c r="G374" i="2" s="1"/>
  <c r="E385" i="2"/>
  <c r="G385" i="2" s="1"/>
  <c r="E384" i="2"/>
  <c r="G384" i="2" s="1"/>
  <c r="E396" i="2"/>
  <c r="G396" i="2" s="1"/>
  <c r="E395" i="2"/>
  <c r="G395" i="2" s="1"/>
  <c r="E388" i="2"/>
  <c r="G388" i="2" s="1"/>
  <c r="E387" i="2"/>
  <c r="G387" i="2" s="1"/>
  <c r="E381" i="2"/>
  <c r="G381" i="2" s="1"/>
  <c r="E376" i="2"/>
  <c r="G376" i="2" s="1"/>
  <c r="E377" i="2"/>
  <c r="G377" i="2" s="1"/>
  <c r="E441" i="2"/>
  <c r="G441" i="2" s="1"/>
  <c r="E342" i="2"/>
  <c r="G342" i="2" s="1"/>
  <c r="E409" i="2"/>
  <c r="G409" i="2" s="1"/>
  <c r="E364" i="2"/>
  <c r="G364" i="2" s="1"/>
  <c r="E412" i="2"/>
  <c r="G412" i="2" s="1"/>
  <c r="E425" i="2"/>
  <c r="G425" i="2" s="1"/>
  <c r="E357" i="2"/>
  <c r="G357" i="2" s="1"/>
  <c r="E355" i="2"/>
  <c r="G355" i="2" s="1"/>
  <c r="E373" i="2"/>
  <c r="G373" i="2" s="1"/>
  <c r="E399" i="2"/>
  <c r="G399" i="2" s="1"/>
  <c r="E398" i="2"/>
  <c r="G398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620" i="2"/>
  <c r="G620" i="2" s="1"/>
  <c r="E621" i="2"/>
  <c r="G621" i="2" s="1"/>
  <c r="E623" i="2"/>
  <c r="G623" i="2" s="1"/>
  <c r="E622" i="2"/>
  <c r="G622" i="2" s="1"/>
  <c r="E434" i="2"/>
  <c r="G434" i="2" s="1"/>
  <c r="E435" i="2"/>
  <c r="G435" i="2" s="1"/>
  <c r="E584" i="2"/>
  <c r="G584" i="2" s="1"/>
  <c r="E594" i="2"/>
  <c r="G594" i="2" s="1"/>
  <c r="E592" i="2"/>
  <c r="G592" i="2" s="1"/>
  <c r="E611" i="2"/>
  <c r="G611" i="2" s="1"/>
  <c r="E589" i="2"/>
  <c r="G589" i="2" s="1"/>
  <c r="E617" i="2"/>
  <c r="G617" i="2" s="1"/>
  <c r="E599" i="2"/>
  <c r="G599" i="2" s="1"/>
  <c r="E613" i="2"/>
  <c r="G613" i="2" s="1"/>
  <c r="E596" i="2"/>
  <c r="G596" i="2" s="1"/>
  <c r="E615" i="2"/>
  <c r="G615" i="2" s="1"/>
  <c r="E616" i="2"/>
  <c r="G616" i="2" s="1"/>
  <c r="E593" i="2"/>
  <c r="G593" i="2" s="1"/>
  <c r="E602" i="2"/>
  <c r="G602" i="2" s="1"/>
  <c r="E752" i="2"/>
  <c r="E601" i="2"/>
  <c r="G601" i="2" s="1"/>
  <c r="E583" i="2"/>
  <c r="G583" i="2" s="1"/>
  <c r="E610" i="2"/>
  <c r="G610" i="2" s="1"/>
  <c r="E618" i="2"/>
  <c r="G618" i="2" s="1"/>
  <c r="E614" i="2"/>
  <c r="G614" i="2" s="1"/>
  <c r="E612" i="2"/>
  <c r="G612" i="2" s="1"/>
  <c r="E598" i="2"/>
  <c r="G598" i="2" s="1"/>
  <c r="E605" i="2"/>
  <c r="G605" i="2" s="1"/>
  <c r="E608" i="2"/>
  <c r="G608" i="2" s="1"/>
  <c r="E619" i="2"/>
  <c r="G619" i="2" s="1"/>
  <c r="E588" i="2"/>
  <c r="G588" i="2" s="1"/>
  <c r="E625" i="2"/>
  <c r="G625" i="2" s="1"/>
  <c r="E607" i="2"/>
  <c r="G607" i="2" s="1"/>
  <c r="E587" i="2"/>
  <c r="G587" i="2" s="1"/>
  <c r="E606" i="2"/>
  <c r="G606" i="2" s="1"/>
  <c r="E600" i="2"/>
  <c r="G600" i="2" s="1"/>
  <c r="E603" i="2"/>
  <c r="G603" i="2" s="1"/>
  <c r="E624" i="2"/>
  <c r="G624" i="2" s="1"/>
  <c r="I7" i="3"/>
  <c r="E585" i="2"/>
  <c r="G585" i="2" s="1"/>
  <c r="E604" i="2"/>
  <c r="G604" i="2" s="1"/>
  <c r="E586" i="2"/>
  <c r="G586" i="2" s="1"/>
  <c r="E597" i="2"/>
  <c r="G597" i="2" s="1"/>
  <c r="E609" i="2"/>
  <c r="G609" i="2" s="1"/>
  <c r="E595" i="2"/>
  <c r="G595" i="2" s="1"/>
  <c r="E590" i="2"/>
  <c r="G590" i="2" s="1"/>
  <c r="G753" i="2"/>
  <c r="J8" i="3" s="1"/>
  <c r="G541" i="2" l="1"/>
  <c r="G756" i="2" s="1"/>
  <c r="J11" i="3" s="1"/>
  <c r="G626" i="2"/>
  <c r="G752" i="2" s="1"/>
  <c r="J7" i="3" s="1"/>
  <c r="J12" i="3" l="1"/>
  <c r="G757" i="2"/>
</calcChain>
</file>

<file path=xl/sharedStrings.xml><?xml version="1.0" encoding="utf-8"?>
<sst xmlns="http://schemas.openxmlformats.org/spreadsheetml/2006/main" count="3209" uniqueCount="869">
  <si>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</si>
  <si>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</si>
  <si>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</si>
  <si>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</si>
  <si>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</si>
  <si>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</si>
  <si>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</si>
  <si>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</si>
  <si>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</si>
  <si>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</si>
  <si>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</si>
  <si>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</si>
  <si>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</si>
  <si>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</si>
  <si>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</si>
  <si>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</si>
  <si>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</si>
  <si>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</si>
  <si>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</si>
  <si>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</si>
  <si>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</si>
  <si>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</si>
  <si>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</si>
  <si>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</si>
  <si>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</si>
  <si>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</si>
  <si>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</si>
  <si>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</si>
  <si>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6GGENA</t>
  </si>
  <si>
    <t>6GGENPED</t>
  </si>
  <si>
    <t>6GJINRO</t>
  </si>
  <si>
    <t>6GMINERAPMA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</si>
  <si>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</si>
  <si>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</si>
  <si>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</si>
  <si>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</si>
  <si>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</si>
  <si>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</si>
  <si>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</si>
  <si>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</si>
  <si>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</si>
  <si>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</si>
  <si>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</si>
  <si>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</si>
  <si>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</si>
  <si>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</si>
  <si>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</si>
  <si>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</si>
  <si>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</si>
  <si>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</si>
  <si>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</si>
  <si>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</si>
  <si>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</si>
  <si>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</si>
  <si>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</si>
  <si>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</si>
  <si>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</si>
  <si>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</si>
  <si>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</si>
  <si>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</si>
  <si>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</si>
  <si>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</si>
  <si>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</si>
  <si>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6US99ALBRO</t>
  </si>
  <si>
    <t>6US99BGOLF</t>
  </si>
  <si>
    <t>6US99CHITR</t>
  </si>
  <si>
    <t>6US99COL2K</t>
  </si>
  <si>
    <t>6US99COSTE</t>
  </si>
  <si>
    <t>6US99DONA</t>
  </si>
  <si>
    <t>6US99FARO</t>
  </si>
  <si>
    <t>6US99PENON</t>
  </si>
  <si>
    <t>6US99PORTO</t>
  </si>
  <si>
    <t>6US99PTAPA</t>
  </si>
  <si>
    <t>6US99PZACA</t>
  </si>
  <si>
    <t>6US99PZAIT</t>
  </si>
  <si>
    <t>6US99PZATO</t>
  </si>
  <si>
    <t>6US99SANFR</t>
  </si>
  <si>
    <t>6US99SANTI</t>
  </si>
  <si>
    <t>6US99TMUER</t>
  </si>
  <si>
    <t>6US99VPORR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</si>
  <si>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</si>
  <si>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</si>
  <si>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</si>
  <si>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</si>
  <si>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</si>
  <si>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</si>
  <si>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</si>
  <si>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</si>
  <si>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</si>
  <si>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</si>
  <si>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</si>
  <si>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</si>
  <si>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</si>
  <si>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</si>
  <si>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</si>
  <si>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</si>
  <si>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</si>
  <si>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</si>
  <si>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</si>
  <si>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</si>
  <si>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</si>
  <si>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</si>
  <si>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</si>
  <si>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</si>
  <si>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</si>
  <si>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</si>
  <si>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</si>
  <si>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</si>
  <si>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</si>
  <si>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</si>
  <si>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</si>
  <si>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</si>
  <si>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</si>
  <si>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</si>
  <si>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</si>
  <si>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</si>
  <si>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</si>
  <si>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</si>
  <si>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</si>
  <si>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</si>
  <si>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</si>
  <si>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</si>
  <si>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</si>
  <si>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</si>
  <si>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</si>
  <si>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</si>
  <si>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</si>
  <si>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</si>
  <si>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</si>
  <si>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</si>
  <si>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</si>
  <si>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</si>
  <si>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</si>
  <si>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</si>
  <si>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</si>
  <si>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</si>
  <si>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</si>
  <si>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</si>
  <si>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</si>
  <si>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</si>
  <si>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</si>
  <si>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</si>
  <si>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</si>
  <si>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</si>
  <si>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</si>
  <si>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</si>
  <si>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</si>
  <si>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</si>
  <si>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</si>
  <si>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</si>
  <si>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</si>
  <si>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</si>
  <si>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</si>
  <si>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</si>
  <si>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</si>
  <si>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</si>
  <si>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</si>
  <si>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</si>
  <si>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</si>
  <si>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</si>
  <si>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</si>
  <si>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</si>
  <si>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</si>
  <si>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</si>
  <si>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</si>
  <si>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</si>
  <si>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</si>
  <si>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</si>
  <si>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</si>
  <si>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</si>
  <si>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</si>
  <si>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</si>
  <si>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</si>
  <si>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</si>
  <si>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</si>
  <si>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</si>
  <si>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</si>
  <si>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</si>
  <si>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</si>
  <si>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</si>
  <si>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</si>
  <si>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</si>
  <si>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</si>
  <si>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</si>
  <si>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</si>
  <si>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</si>
  <si>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</si>
  <si>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</si>
  <si>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</si>
  <si>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</si>
  <si>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</si>
  <si>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</si>
  <si>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</si>
  <si>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</si>
  <si>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</si>
  <si>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</si>
  <si>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</si>
  <si>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</si>
  <si>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</si>
  <si>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</si>
  <si>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</si>
  <si>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</si>
  <si>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</si>
  <si>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</si>
  <si>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</si>
  <si>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</si>
  <si>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</si>
  <si>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</si>
  <si>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</si>
  <si>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</si>
  <si>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</si>
  <si>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</si>
  <si>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</si>
  <si>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</si>
  <si>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</si>
  <si>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</si>
  <si>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</si>
  <si>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</si>
  <si>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</si>
  <si>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</si>
  <si>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</si>
  <si>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</si>
  <si>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</si>
  <si>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</si>
  <si>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</si>
  <si>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</si>
  <si>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</si>
  <si>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</si>
  <si>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</si>
  <si>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</si>
  <si>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</si>
  <si>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</si>
  <si>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</si>
  <si>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</si>
  <si>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</si>
  <si>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</si>
  <si>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</si>
  <si>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</si>
  <si>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</si>
  <si>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</si>
  <si>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</si>
  <si>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</si>
  <si>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</si>
  <si>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</si>
  <si>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</si>
  <si>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</si>
  <si>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</si>
  <si>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</si>
  <si>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</si>
  <si>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</si>
  <si>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</si>
  <si>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</si>
  <si>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</si>
  <si>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</si>
  <si>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</si>
  <si>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</si>
  <si>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</si>
  <si>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</si>
  <si>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</si>
  <si>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</si>
  <si>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</si>
  <si>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</si>
  <si>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</si>
  <si>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</si>
  <si>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</si>
  <si>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</si>
  <si>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</si>
  <si>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</si>
  <si>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</si>
  <si>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</si>
  <si>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</si>
  <si>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</si>
  <si>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</si>
  <si>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</si>
  <si>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</si>
  <si>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</si>
  <si>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</si>
  <si>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</si>
  <si>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</si>
  <si>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</si>
  <si>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 xml:space="preserve">
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</si>
  <si>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</si>
  <si>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</si>
  <si>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</si>
  <si>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</si>
  <si>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</si>
  <si>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</si>
  <si>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</si>
  <si>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</si>
  <si>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</si>
  <si>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</si>
  <si>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</si>
  <si>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</si>
  <si>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</si>
  <si>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</si>
  <si>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</si>
  <si>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</si>
  <si>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</si>
  <si>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</si>
  <si>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</si>
  <si>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</si>
  <si>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</si>
  <si>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</si>
  <si>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</si>
  <si>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</si>
  <si>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</si>
  <si>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</si>
  <si>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</si>
  <si>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</si>
  <si>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</si>
  <si>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</si>
  <si>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</si>
  <si>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</si>
  <si>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</si>
  <si>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</si>
  <si>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</si>
  <si>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</si>
  <si>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</si>
  <si>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</si>
  <si>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</si>
  <si>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</si>
  <si>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</si>
  <si>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</si>
  <si>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</si>
  <si>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</si>
  <si>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</si>
  <si>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</si>
  <si>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</si>
  <si>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</si>
  <si>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</si>
  <si>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</si>
  <si>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</si>
  <si>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</si>
  <si>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</si>
  <si>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</si>
  <si>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</si>
  <si>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</si>
  <si>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</si>
  <si>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</si>
  <si>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</si>
  <si>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</si>
  <si>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</si>
  <si>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</si>
  <si>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</si>
  <si>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</si>
  <si>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</si>
  <si>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</si>
  <si>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</si>
  <si>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</si>
  <si>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</si>
  <si>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</si>
  <si>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</si>
  <si>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</si>
  <si>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</si>
  <si>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</si>
  <si>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</si>
  <si>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</si>
  <si>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</si>
  <si>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</si>
  <si>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</si>
  <si>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</si>
  <si>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</si>
  <si>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</si>
  <si>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</si>
  <si>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</si>
  <si>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</si>
  <si>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</si>
  <si>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</si>
  <si>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</si>
  <si>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</si>
  <si>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</si>
  <si>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</si>
  <si>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</si>
  <si>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</si>
  <si>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</si>
  <si>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</si>
  <si>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</si>
  <si>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</si>
  <si>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</si>
  <si>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</si>
  <si>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</si>
  <si>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</si>
  <si>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</si>
  <si>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</si>
  <si>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</si>
  <si>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</si>
  <si>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</si>
  <si>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</si>
  <si>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</si>
  <si>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</si>
  <si>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</si>
  <si>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 xml:space="preserve">IAR / 12
</t>
  </si>
  <si>
    <t>DIFERENCIA</t>
  </si>
  <si>
    <t>6GCELSIABON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</si>
  <si>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</si>
  <si>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</si>
  <si>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</si>
  <si>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</si>
  <si>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</si>
  <si>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</si>
  <si>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</si>
  <si>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</si>
  <si>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</si>
  <si>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</si>
  <si>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</si>
  <si>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</si>
  <si>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</si>
  <si>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</si>
  <si>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</si>
  <si>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</si>
  <si>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</si>
  <si>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</si>
  <si>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</si>
  <si>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</si>
  <si>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</si>
  <si>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</si>
  <si>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</si>
  <si>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</si>
  <si>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</si>
  <si>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</si>
  <si>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</si>
  <si>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</si>
  <si>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</si>
  <si>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</si>
  <si>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</si>
  <si>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</si>
  <si>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</si>
  <si>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</si>
  <si>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</si>
  <si>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</si>
  <si>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</si>
  <si>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</si>
  <si>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</si>
  <si>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</si>
  <si>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</si>
  <si>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</si>
  <si>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</si>
  <si>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</si>
  <si>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</si>
  <si>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</si>
  <si>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</si>
  <si>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</si>
  <si>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</si>
  <si>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</si>
  <si>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</si>
  <si>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</si>
  <si>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</si>
  <si>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</si>
  <si>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</si>
  <si>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</si>
  <si>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</si>
  <si>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</si>
  <si>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</si>
  <si>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</si>
  <si>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</si>
  <si>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</si>
  <si>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</si>
  <si>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</si>
  <si>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</si>
  <si>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</si>
  <si>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</si>
  <si>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</si>
  <si>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</si>
  <si>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</si>
  <si>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</si>
  <si>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</si>
  <si>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</si>
  <si>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</si>
  <si>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</si>
  <si>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</si>
  <si>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</si>
  <si>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</si>
  <si>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</si>
  <si>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</si>
  <si>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</si>
  <si>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</si>
  <si>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</si>
  <si>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</si>
  <si>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</si>
  <si>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</si>
  <si>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</si>
  <si>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</si>
  <si>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</si>
  <si>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</si>
  <si>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</si>
  <si>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</si>
  <si>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</si>
  <si>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</si>
  <si>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</si>
  <si>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</si>
  <si>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</si>
  <si>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</si>
  <si>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</si>
  <si>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</si>
  <si>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</si>
  <si>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</si>
  <si>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</si>
  <si>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</si>
  <si>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</si>
  <si>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</si>
  <si>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</si>
  <si>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</si>
  <si>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6GUEPPME1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</si>
  <si>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</si>
  <si>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</si>
  <si>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</si>
  <si>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</si>
  <si>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</si>
  <si>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</si>
  <si>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</si>
  <si>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</si>
  <si>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</si>
  <si>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</si>
  <si>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</si>
  <si>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</si>
  <si>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</si>
  <si>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</si>
  <si>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</si>
  <si>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</si>
  <si>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</si>
  <si>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</si>
  <si>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</si>
  <si>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t>CARN_RESpr:</t>
  </si>
  <si>
    <t>Costo Asociado a restricciones nacionales del país responsable "pr", acumulado semestral, es decir; de enero a junio o de julio a diciembre</t>
  </si>
  <si>
    <t>Período del CARN_RESpr:</t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</si>
  <si>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</si>
  <si>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</si>
  <si>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</si>
  <si>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</si>
  <si>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</si>
  <si>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</si>
  <si>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</si>
  <si>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</si>
  <si>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</si>
  <si>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</si>
  <si>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</si>
  <si>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</si>
  <si>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</si>
  <si>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</si>
  <si>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</si>
  <si>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</si>
  <si>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</si>
  <si>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</si>
  <si>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</si>
  <si>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</si>
  <si>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</si>
  <si>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</si>
  <si>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</si>
  <si>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</si>
  <si>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</si>
  <si>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</si>
  <si>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</si>
  <si>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</si>
  <si>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</si>
  <si>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</si>
  <si>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</si>
  <si>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</si>
  <si>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</si>
  <si>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</si>
  <si>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</si>
  <si>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</si>
  <si>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</si>
  <si>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</si>
  <si>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</si>
  <si>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</si>
  <si>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</si>
  <si>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</si>
  <si>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</si>
  <si>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</si>
  <si>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</si>
  <si>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</si>
  <si>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</si>
  <si>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</si>
  <si>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</si>
  <si>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</si>
  <si>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</si>
  <si>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</si>
  <si>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</si>
  <si>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</si>
  <si>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</si>
  <si>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</si>
  <si>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</si>
  <si>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</si>
  <si>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</si>
  <si>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</si>
  <si>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</si>
  <si>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</si>
  <si>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</si>
  <si>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</si>
  <si>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</si>
  <si>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</si>
  <si>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</si>
  <si>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</si>
  <si>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</si>
  <si>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</si>
  <si>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</si>
  <si>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</si>
  <si>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</si>
  <si>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</si>
  <si>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</si>
  <si>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</si>
  <si>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</si>
  <si>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</si>
  <si>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</si>
  <si>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</si>
  <si>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</si>
  <si>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</si>
  <si>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</si>
  <si>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</si>
  <si>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 AJUSTADO 2019
CRIE-49-2019 CONFIRMADO POR CRIE-55-2019</t>
  </si>
  <si>
    <t>MONTO PENDIENTE DE FACTURAR INCLUYENDO EL AJUSTE DE AGOSTO A DICIEMBRE 2019</t>
  </si>
  <si>
    <t>IARMES AJUSTADO 2019
CRIE-49-2019</t>
  </si>
  <si>
    <t>MONTO FACTURADO DE ENERO A JULIO 2019</t>
  </si>
  <si>
    <t>6UDECAMERON</t>
  </si>
  <si>
    <t>6UHPANAMA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</si>
  <si>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</si>
  <si>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</si>
  <si>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</si>
  <si>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</si>
  <si>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</si>
  <si>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</si>
  <si>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</si>
  <si>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</si>
  <si>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</si>
  <si>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</si>
  <si>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</si>
  <si>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</si>
  <si>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</si>
  <si>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</si>
  <si>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</si>
  <si>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</si>
  <si>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</si>
  <si>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</si>
  <si>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</si>
  <si>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</si>
  <si>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</si>
  <si>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</si>
  <si>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</si>
  <si>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</si>
  <si>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</si>
  <si>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</si>
  <si>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</si>
  <si>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</si>
  <si>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</si>
  <si>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6UCADASA_GC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</si>
  <si>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</si>
  <si>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</si>
  <si>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</si>
  <si>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</si>
  <si>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</si>
  <si>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</si>
  <si>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</si>
  <si>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</si>
  <si>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</si>
  <si>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</si>
  <si>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</si>
  <si>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</si>
  <si>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</si>
  <si>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</si>
  <si>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</si>
  <si>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</si>
  <si>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</si>
  <si>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</si>
  <si>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</si>
  <si>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</si>
  <si>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</si>
  <si>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</si>
  <si>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</si>
  <si>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</si>
  <si>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</si>
  <si>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</si>
  <si>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</si>
  <si>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</si>
  <si>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</si>
  <si>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</si>
  <si>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</si>
  <si>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</si>
  <si>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</si>
  <si>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</si>
  <si>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</si>
  <si>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</si>
  <si>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</si>
  <si>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</si>
  <si>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</si>
  <si>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</si>
  <si>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</si>
  <si>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</si>
  <si>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</si>
  <si>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</si>
  <si>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</si>
  <si>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</si>
  <si>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</si>
  <si>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</si>
  <si>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</si>
  <si>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</si>
  <si>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</si>
  <si>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</si>
  <si>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</si>
  <si>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</si>
  <si>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</si>
  <si>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</si>
  <si>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</si>
  <si>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</si>
  <si>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</si>
  <si>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</si>
  <si>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</si>
  <si>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</si>
  <si>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</si>
  <si>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</si>
  <si>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</si>
  <si>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6UCEMEXJDIAZ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</si>
  <si>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</si>
  <si>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</si>
  <si>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</si>
  <si>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</si>
  <si>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</si>
  <si>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</si>
  <si>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</si>
  <si>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</si>
  <si>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</si>
  <si>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</si>
  <si>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</si>
  <si>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</si>
  <si>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</si>
  <si>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</si>
  <si>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</si>
  <si>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</si>
  <si>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</si>
  <si>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</si>
  <si>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</si>
  <si>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</si>
  <si>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</si>
  <si>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</si>
  <si>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</si>
  <si>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</si>
  <si>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SCGCse-1
(al 31 de diciembre 2019)</t>
  </si>
  <si>
    <t>Costos Asociados a las Restricciones Nacionales (Resolución CRIE-112-2018) y Resolución CRIE-39-2019 ($US)</t>
  </si>
  <si>
    <t>**Conforme el RESULEVE PRIMERO de la Resolución CRIE-62-2019, el Porcentaje de Compensación Semestral (PC) es un valor de cero punto setenta y cinco (0.75) durante los meses de operación de enero a junio de 2020.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</si>
  <si>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</si>
  <si>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</si>
  <si>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</si>
  <si>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</si>
  <si>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</si>
  <si>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</si>
  <si>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</si>
  <si>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</si>
  <si>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</si>
  <si>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</si>
  <si>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</si>
  <si>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</si>
  <si>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</si>
  <si>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</si>
  <si>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</si>
  <si>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</si>
  <si>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</si>
  <si>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</si>
  <si>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</si>
  <si>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</si>
  <si>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</si>
  <si>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</si>
  <si>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1GGDRHIDCH</t>
  </si>
  <si>
    <t>01 de julio 2019 al 31 de diciembre de 2019</t>
  </si>
  <si>
    <r>
      <t>∑Demanda_de_país_</t>
    </r>
    <r>
      <rPr>
        <b/>
        <vertAlign val="subscript"/>
        <sz val="12"/>
        <color rgb="FF000000"/>
        <rFont val="Segoe UI Symbol"/>
        <family val="2"/>
      </rPr>
      <t>pnr,s</t>
    </r>
  </si>
  <si>
    <r>
      <t>CARN_RES</t>
    </r>
    <r>
      <rPr>
        <vertAlign val="subscript"/>
        <sz val="12"/>
        <color rgb="FF000000"/>
        <rFont val="Segoe UI Symbol"/>
        <family val="2"/>
      </rPr>
      <t>pr</t>
    </r>
  </si>
  <si>
    <r>
      <t>CARN</t>
    </r>
    <r>
      <rPr>
        <b/>
        <vertAlign val="subscript"/>
        <sz val="12"/>
        <color rgb="FF000000"/>
        <rFont val="Segoe UI Symbol"/>
        <family val="2"/>
      </rPr>
      <t>RESpr,s</t>
    </r>
  </si>
  <si>
    <t>6GCALDERA</t>
  </si>
  <si>
    <t>6UCINEANCLAS</t>
  </si>
  <si>
    <t>6UDILIDO</t>
  </si>
  <si>
    <t>6GEGEISTMO</t>
  </si>
  <si>
    <t>6UFC_HINTER2</t>
  </si>
  <si>
    <t>6GGANA</t>
  </si>
  <si>
    <t>6UGPH_SAKSDO</t>
  </si>
  <si>
    <t>6UMETRO5MAY</t>
  </si>
  <si>
    <t>6UMETROAND</t>
  </si>
  <si>
    <t>6UOASISTROP</t>
  </si>
  <si>
    <t>6UPHDREAM</t>
  </si>
  <si>
    <t>6UPHPEARL</t>
  </si>
  <si>
    <t>6UPROLACSA</t>
  </si>
  <si>
    <t>6UTORREPMA</t>
  </si>
  <si>
    <t>1GGENAGENA</t>
  </si>
  <si>
    <t>1GGENESAES</t>
  </si>
  <si>
    <t>1TTRAREELC</t>
  </si>
  <si>
    <t>SCGCse-1 (al 31 de DICIEMBRE 2019)</t>
  </si>
  <si>
    <t>IAR ANUAL 2020
(Resolución CRIE-81-2019)</t>
  </si>
  <si>
    <t>IAR 2020
CRIE-81-2019</t>
  </si>
  <si>
    <t>IARMES 2020
CRIE-81-2019</t>
  </si>
  <si>
    <t>6UALMACENAJE</t>
  </si>
  <si>
    <t>6UANCLASM1</t>
  </si>
  <si>
    <t>6UANCLASM2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</si>
  <si>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</si>
  <si>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</si>
  <si>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</si>
  <si>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</si>
  <si>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</si>
  <si>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</si>
  <si>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</si>
  <si>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6GCELSIACENT</t>
  </si>
  <si>
    <t>6GCELSIABLM</t>
  </si>
  <si>
    <t>6UDAVIVIENDA</t>
  </si>
  <si>
    <t>6UEDIF3M</t>
  </si>
  <si>
    <t>6UEUBP</t>
  </si>
  <si>
    <t>6UEVOLTOW</t>
  </si>
  <si>
    <t>6GFOUNTAIN</t>
  </si>
  <si>
    <t>6UGSK_JDIAZ</t>
  </si>
  <si>
    <t>6UHPALACIOS</t>
  </si>
  <si>
    <t>6UHPBLANCA</t>
  </si>
  <si>
    <t>6UHRIU</t>
  </si>
  <si>
    <t>6UHYATTPLACE</t>
  </si>
  <si>
    <t>6GIDEALPMA</t>
  </si>
  <si>
    <t>6UJERUSALEM</t>
  </si>
  <si>
    <t>6UKFCBETANIA</t>
  </si>
  <si>
    <t>6UKFCMANANIT</t>
  </si>
  <si>
    <t>6UMC_ARRCAB</t>
  </si>
  <si>
    <t>6UMC_ARRCHC</t>
  </si>
  <si>
    <t>6UNIELSPED</t>
  </si>
  <si>
    <t>6UPCLUB12OCT</t>
  </si>
  <si>
    <t>6UPEDFFOODS</t>
  </si>
  <si>
    <t>6UPRICEMPARK</t>
  </si>
  <si>
    <t>6UPRODHIELO</t>
  </si>
  <si>
    <t>6USERCOTEL</t>
  </si>
  <si>
    <t>1GGENGENEP</t>
  </si>
  <si>
    <t>1GGENHIDRA</t>
  </si>
  <si>
    <t>1GGENINGSD</t>
  </si>
  <si>
    <t>CÁLCULO DE TARIFAS PARA EL CARGO COMPLEMENTARIO SEGÚN  Resolución CRIE-31-2018, CRIE-112-2018, CRIE-39-2019, CRIE-62-2019 y CRIE-81-2019.</t>
  </si>
  <si>
    <t>6GGENISA</t>
  </si>
  <si>
    <t>6UBONLACBG</t>
  </si>
  <si>
    <t>6UBRISASDEAM</t>
  </si>
  <si>
    <t>6UCCHEBREO</t>
  </si>
  <si>
    <t>6UCGOLF</t>
  </si>
  <si>
    <t>6UDELMONTE</t>
  </si>
  <si>
    <t>6UFARACVAC</t>
  </si>
  <si>
    <t>6UGPH_SAKSGO</t>
  </si>
  <si>
    <t>6UHIPICA</t>
  </si>
  <si>
    <t>6UHITALIANA</t>
  </si>
  <si>
    <t>6UNIKOBAL</t>
  </si>
  <si>
    <t>6UNIKOC50</t>
  </si>
  <si>
    <t>6UNIKODORADO</t>
  </si>
  <si>
    <t>6UNIKOPBLOS</t>
  </si>
  <si>
    <t>6UNIKOPME</t>
  </si>
  <si>
    <t>6UNIKOTER</t>
  </si>
  <si>
    <t>6UOPENBLUE1</t>
  </si>
  <si>
    <t>6UOPENBLUE2</t>
  </si>
  <si>
    <t>6USCARCHITRE</t>
  </si>
  <si>
    <t>6USHELTER</t>
  </si>
  <si>
    <t>6USUPERDELIK</t>
  </si>
  <si>
    <t>6UTELECTOR</t>
  </si>
  <si>
    <t>1GGENINVPA</t>
  </si>
  <si>
    <t>CARGO COMPLEMENTARIO ABRIL 2020</t>
  </si>
  <si>
    <t>6UALICAPCEDI</t>
  </si>
  <si>
    <t>6UARGOSTOC</t>
  </si>
  <si>
    <t>6UCCONTAIN13</t>
  </si>
  <si>
    <t>6UCCROWNHRAD</t>
  </si>
  <si>
    <t>6GCORPISTMO</t>
  </si>
  <si>
    <t>6GEISA</t>
  </si>
  <si>
    <t>6GENELSOLAR</t>
  </si>
  <si>
    <t>6GHBOQUERON</t>
  </si>
  <si>
    <t>6UKFCCENTEN</t>
  </si>
  <si>
    <t>6UKFCSTGO</t>
  </si>
  <si>
    <t>6UNIKORABAJO</t>
  </si>
  <si>
    <t>6UPTPCAZUL</t>
  </si>
  <si>
    <t>6URODEO</t>
  </si>
  <si>
    <t>6UTBELLDOR</t>
  </si>
  <si>
    <t>6UXBUGABA</t>
  </si>
  <si>
    <t>MES OPERACIÓN DTER: MAYO 2020</t>
  </si>
  <si>
    <t>MES DEMANDA: ABRIL 2020</t>
  </si>
  <si>
    <t>CARGO COMPLEMENTARIO: ABRIL 2020</t>
  </si>
  <si>
    <t>1GGDRPUNCI   </t>
  </si>
  <si>
    <t>1GGENPANTA</t>
  </si>
  <si>
    <t>1GGENTECNO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</si>
</sst>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[$$-540A]#,##0.00"/>
    <numFmt numFmtId="178" formatCode="0.0000"/>
    <numFmt numFmtId="179" formatCode="0.000000000000"/>
    <numFmt numFmtId="180" formatCode="0.00000000"/>
    <numFmt numFmtId="181" formatCode="#,##0.00000000000000"/>
    <numFmt numFmtId="182" formatCode="#,##0.000000000000"/>
    <numFmt numFmtId="183" formatCode="_-* #,##0.0000_-;\-* #,##0.0000_-;_-* &quot;-&quot;??_-;_-@_-"/>
    <numFmt numFmtId="184" formatCode="_-* #,##0.0000000_-;\-* #,##0.0000000_-;_-* &quot;-&quot;??_-;_-@_-"/>
    <numFmt numFmtId="185" formatCode="#,##0.0_ ;\-#,##0.0\ "/>
    <numFmt numFmtId="186" formatCode="#,##0.00000000000000000"/>
    <numFmt numFmtId="187" formatCode="#,##0.0000000000"/>
    <numFmt numFmtId="188" formatCode="_(* #,##0.00000_);_(* \(#,##0.00000\);_(* &quot;-&quot;??_);_(@_)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Segoe UI Light"/>
      <family val="2"/>
    </font>
    <font>
      <b/>
      <sz val="12"/>
      <color rgb="FF000000"/>
      <name val="Segoe UI Symbol"/>
      <family val="2"/>
    </font>
    <font>
      <b/>
      <vertAlign val="subscript"/>
      <sz val="12"/>
      <color rgb="FF000000"/>
      <name val="Segoe UI Symbol"/>
      <family val="2"/>
    </font>
    <font>
      <sz val="11"/>
      <color rgb="FF000000"/>
      <name val="Segoe UI Light"/>
      <family val="2"/>
    </font>
    <font>
      <vertAlign val="subscript"/>
      <sz val="12"/>
      <color rgb="FF000000"/>
      <name val="Segoe UI Symbol"/>
      <family val="2"/>
    </font>
    <font>
      <sz val="11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6">
    <xf numFmtId="0" fontId="0" fillId="0" borderId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8" fillId="17" borderId="64" applyNumberFormat="0" applyAlignment="0" applyProtection="0"/>
    <xf numFmtId="0" fontId="29" fillId="18" borderId="65" applyNumberFormat="0" applyAlignment="0" applyProtection="0"/>
    <xf numFmtId="0" fontId="30" fillId="18" borderId="64" applyNumberFormat="0" applyAlignment="0" applyProtection="0"/>
    <xf numFmtId="0" fontId="31" fillId="0" borderId="66" applyNumberFormat="0" applyFill="0" applyAlignment="0" applyProtection="0"/>
    <xf numFmtId="0" fontId="32" fillId="19" borderId="67" applyNumberFormat="0" applyAlignment="0" applyProtection="0"/>
    <xf numFmtId="0" fontId="35" fillId="0" borderId="69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68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7" fillId="0" borderId="0" applyFont="0" applyFill="0" applyBorder="0" applyAlignment="0" applyProtection="0"/>
    <xf numFmtId="0" fontId="38" fillId="0" borderId="16"/>
    <xf numFmtId="165" fontId="44" fillId="0" borderId="0" applyFont="0" applyFill="0" applyBorder="0" applyAlignment="0" applyProtection="0"/>
  </cellStyleXfs>
  <cellXfs count="470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167" fontId="10" fillId="3" borderId="22" xfId="0" applyNumberFormat="1" applyFont="1" applyFill="1" applyBorder="1"/>
    <xf numFmtId="173" fontId="10" fillId="3" borderId="22" xfId="0" applyNumberFormat="1" applyFont="1" applyFill="1" applyBorder="1"/>
    <xf numFmtId="165" fontId="10" fillId="3" borderId="2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165" fontId="10" fillId="3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10" borderId="16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3" fillId="10" borderId="28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0" borderId="9" xfId="0" applyFont="1" applyBorder="1" applyAlignment="1">
      <alignment horizontal="center" vertical="center"/>
    </xf>
    <xf numFmtId="0" fontId="0" fillId="4" borderId="28" xfId="0" applyFont="1" applyFill="1" applyBorder="1"/>
    <xf numFmtId="0" fontId="0" fillId="4" borderId="20" xfId="0" applyFont="1" applyFill="1" applyBorder="1"/>
    <xf numFmtId="166" fontId="0" fillId="4" borderId="37" xfId="0" applyNumberFormat="1" applyFont="1" applyFill="1" applyBorder="1" applyAlignment="1">
      <alignment horizontal="right"/>
    </xf>
    <xf numFmtId="166" fontId="0" fillId="4" borderId="20" xfId="0" applyNumberFormat="1" applyFont="1" applyFill="1" applyBorder="1" applyAlignment="1">
      <alignment horizontal="right"/>
    </xf>
    <xf numFmtId="166" fontId="0" fillId="4" borderId="38" xfId="0" applyNumberFormat="1" applyFont="1" applyFill="1" applyBorder="1" applyAlignment="1">
      <alignment horizontal="right"/>
    </xf>
    <xf numFmtId="166" fontId="0" fillId="4" borderId="26" xfId="0" applyNumberFormat="1" applyFont="1" applyFill="1" applyBorder="1" applyAlignment="1">
      <alignment horizontal="right"/>
    </xf>
    <xf numFmtId="166" fontId="0" fillId="4" borderId="20" xfId="0" applyNumberFormat="1" applyFont="1" applyFill="1" applyBorder="1"/>
    <xf numFmtId="0" fontId="0" fillId="4" borderId="38" xfId="0" applyFont="1" applyFill="1" applyBorder="1"/>
    <xf numFmtId="0" fontId="0" fillId="4" borderId="29" xfId="0" applyFont="1" applyFill="1" applyBorder="1"/>
    <xf numFmtId="0" fontId="0" fillId="0" borderId="0" xfId="0" applyFont="1" applyAlignment="1">
      <alignment horizontal="left"/>
    </xf>
    <xf numFmtId="0" fontId="0" fillId="8" borderId="9" xfId="0" applyFont="1" applyFill="1" applyBorder="1"/>
    <xf numFmtId="175" fontId="0" fillId="6" borderId="9" xfId="0" applyNumberFormat="1" applyFont="1" applyFill="1" applyBorder="1"/>
    <xf numFmtId="37" fontId="4" fillId="0" borderId="9" xfId="0" applyNumberFormat="1" applyFont="1" applyBorder="1"/>
    <xf numFmtId="37" fontId="16" fillId="0" borderId="0" xfId="0" applyNumberFormat="1" applyFont="1"/>
    <xf numFmtId="0" fontId="0" fillId="4" borderId="37" xfId="0" applyFont="1" applyFill="1" applyBorder="1"/>
    <xf numFmtId="0" fontId="0" fillId="4" borderId="26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7" xfId="0" applyFont="1" applyFill="1" applyBorder="1"/>
    <xf numFmtId="166" fontId="0" fillId="4" borderId="16" xfId="0" applyNumberFormat="1" applyFont="1" applyFill="1" applyBorder="1"/>
    <xf numFmtId="166" fontId="0" fillId="4" borderId="26" xfId="0" applyNumberFormat="1" applyFont="1" applyFill="1" applyBorder="1"/>
    <xf numFmtId="166" fontId="0" fillId="4" borderId="27" xfId="0" applyNumberFormat="1" applyFont="1" applyFill="1" applyBorder="1"/>
    <xf numFmtId="166" fontId="12" fillId="8" borderId="16" xfId="0" applyNumberFormat="1" applyFont="1" applyFill="1" applyBorder="1"/>
    <xf numFmtId="0" fontId="17" fillId="3" borderId="39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0" xfId="0" applyFont="1" applyFill="1" applyBorder="1"/>
    <xf numFmtId="0" fontId="0" fillId="4" borderId="31" xfId="0" applyFont="1" applyFill="1" applyBorder="1"/>
    <xf numFmtId="173" fontId="17" fillId="3" borderId="40" xfId="0" applyNumberFormat="1" applyFont="1" applyFill="1" applyBorder="1" applyAlignment="1">
      <alignment horizontal="right"/>
    </xf>
    <xf numFmtId="166" fontId="0" fillId="4" borderId="32" xfId="0" applyNumberFormat="1" applyFont="1" applyFill="1" applyBorder="1" applyAlignment="1">
      <alignment horizontal="right"/>
    </xf>
    <xf numFmtId="165" fontId="17" fillId="3" borderId="41" xfId="0" applyNumberFormat="1" applyFont="1" applyFill="1" applyBorder="1" applyAlignment="1">
      <alignment horizontal="right"/>
    </xf>
    <xf numFmtId="0" fontId="10" fillId="3" borderId="39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 vertical="center" wrapText="1"/>
    </xf>
    <xf numFmtId="0" fontId="10" fillId="3" borderId="40" xfId="0" applyFont="1" applyFill="1" applyBorder="1"/>
    <xf numFmtId="167" fontId="10" fillId="3" borderId="40" xfId="0" applyNumberFormat="1" applyFont="1" applyFill="1" applyBorder="1"/>
    <xf numFmtId="173" fontId="10" fillId="3" borderId="22" xfId="0" applyNumberFormat="1" applyFont="1" applyFill="1" applyBorder="1" applyAlignment="1">
      <alignment horizontal="right"/>
    </xf>
    <xf numFmtId="0" fontId="11" fillId="4" borderId="9" xfId="0" applyFont="1" applyFill="1" applyBorder="1"/>
    <xf numFmtId="0" fontId="0" fillId="0" borderId="0" xfId="0" applyFont="1" applyAlignment="1">
      <alignment horizontal="right"/>
    </xf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6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4" fontId="0" fillId="0" borderId="0" xfId="0" applyNumberFormat="1" applyFont="1" applyAlignment="1">
      <alignment horizontal="right"/>
    </xf>
    <xf numFmtId="166" fontId="11" fillId="4" borderId="9" xfId="0" applyNumberFormat="1" applyFont="1" applyFill="1" applyBorder="1"/>
    <xf numFmtId="0" fontId="0" fillId="8" borderId="26" xfId="0" applyFont="1" applyFill="1" applyBorder="1"/>
    <xf numFmtId="175" fontId="0" fillId="0" borderId="0" xfId="0" applyNumberFormat="1" applyFont="1"/>
    <xf numFmtId="0" fontId="0" fillId="12" borderId="20" xfId="0" applyFont="1" applyFill="1" applyBorder="1"/>
    <xf numFmtId="37" fontId="0" fillId="12" borderId="38" xfId="0" applyNumberFormat="1" applyFont="1" applyFill="1" applyBorder="1"/>
    <xf numFmtId="166" fontId="0" fillId="12" borderId="28" xfId="0" applyNumberFormat="1" applyFont="1" applyFill="1" applyBorder="1" applyAlignment="1">
      <alignment horizontal="right"/>
    </xf>
    <xf numFmtId="166" fontId="0" fillId="12" borderId="2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/>
    <xf numFmtId="37" fontId="0" fillId="6" borderId="9" xfId="0" applyNumberFormat="1" applyFont="1" applyFill="1" applyBorder="1"/>
    <xf numFmtId="0" fontId="0" fillId="12" borderId="26" xfId="0" applyFont="1" applyFill="1" applyBorder="1"/>
    <xf numFmtId="3" fontId="0" fillId="12" borderId="16" xfId="0" applyNumberFormat="1" applyFont="1" applyFill="1" applyBorder="1"/>
    <xf numFmtId="166" fontId="0" fillId="12" borderId="37" xfId="0" applyNumberFormat="1" applyFont="1" applyFill="1" applyBorder="1" applyAlignment="1">
      <alignment horizontal="right"/>
    </xf>
    <xf numFmtId="166" fontId="0" fillId="12" borderId="32" xfId="0" applyNumberFormat="1" applyFont="1" applyFill="1" applyBorder="1" applyAlignment="1">
      <alignment horizontal="right"/>
    </xf>
    <xf numFmtId="166" fontId="0" fillId="12" borderId="26" xfId="0" applyNumberFormat="1" applyFont="1" applyFill="1" applyBorder="1"/>
    <xf numFmtId="166" fontId="0" fillId="12" borderId="32" xfId="0" applyNumberFormat="1" applyFont="1" applyFill="1" applyBorder="1"/>
    <xf numFmtId="166" fontId="0" fillId="12" borderId="26" xfId="0" applyNumberFormat="1" applyFont="1" applyFill="1" applyBorder="1" applyAlignment="1">
      <alignment horizontal="right"/>
    </xf>
    <xf numFmtId="3" fontId="0" fillId="12" borderId="38" xfId="0" applyNumberFormat="1" applyFont="1" applyFill="1" applyBorder="1"/>
    <xf numFmtId="0" fontId="0" fillId="12" borderId="38" xfId="0" applyFont="1" applyFill="1" applyBorder="1"/>
    <xf numFmtId="0" fontId="0" fillId="12" borderId="29" xfId="0" applyFont="1" applyFill="1" applyBorder="1"/>
    <xf numFmtId="0" fontId="10" fillId="3" borderId="42" xfId="0" applyFont="1" applyFill="1" applyBorder="1" applyAlignment="1">
      <alignment horizontal="center" vertical="center" wrapText="1"/>
    </xf>
    <xf numFmtId="0" fontId="10" fillId="3" borderId="42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7" xfId="0" applyFont="1" applyFill="1" applyBorder="1"/>
    <xf numFmtId="167" fontId="10" fillId="3" borderId="42" xfId="0" applyNumberFormat="1" applyFont="1" applyFill="1" applyBorder="1"/>
    <xf numFmtId="173" fontId="10" fillId="3" borderId="42" xfId="0" applyNumberFormat="1" applyFont="1" applyFill="1" applyBorder="1" applyAlignment="1">
      <alignment horizontal="right"/>
    </xf>
    <xf numFmtId="165" fontId="10" fillId="3" borderId="4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176" fontId="17" fillId="3" borderId="40" xfId="0" applyNumberFormat="1" applyFont="1" applyFill="1" applyBorder="1" applyAlignment="1">
      <alignment horizontal="right"/>
    </xf>
    <xf numFmtId="0" fontId="0" fillId="3" borderId="40" xfId="0" applyFont="1" applyFill="1" applyBorder="1" applyAlignment="1">
      <alignment wrapText="1"/>
    </xf>
    <xf numFmtId="0" fontId="0" fillId="12" borderId="32" xfId="0" applyFont="1" applyFill="1" applyBorder="1"/>
    <xf numFmtId="0" fontId="0" fillId="12" borderId="44" xfId="0" applyFont="1" applyFill="1" applyBorder="1"/>
    <xf numFmtId="0" fontId="0" fillId="12" borderId="33" xfId="0" applyFont="1" applyFill="1" applyBorder="1"/>
    <xf numFmtId="3" fontId="0" fillId="12" borderId="26" xfId="0" applyNumberFormat="1" applyFont="1" applyFill="1" applyBorder="1" applyAlignment="1">
      <alignment horizontal="right"/>
    </xf>
    <xf numFmtId="166" fontId="0" fillId="12" borderId="33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20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22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165" fontId="10" fillId="3" borderId="23" xfId="0" applyNumberFormat="1" applyFont="1" applyFill="1" applyBorder="1" applyAlignment="1">
      <alignment horizontal="right"/>
    </xf>
    <xf numFmtId="166" fontId="11" fillId="12" borderId="15" xfId="0" applyNumberFormat="1" applyFont="1" applyFill="1" applyBorder="1"/>
    <xf numFmtId="177" fontId="0" fillId="0" borderId="0" xfId="0" applyNumberFormat="1" applyFont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78" fontId="0" fillId="0" borderId="0" xfId="0" applyNumberFormat="1" applyFont="1"/>
    <xf numFmtId="167" fontId="12" fillId="0" borderId="0" xfId="0" applyNumberFormat="1" applyFont="1"/>
    <xf numFmtId="179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80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4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6" xfId="0" applyFont="1" applyBorder="1"/>
    <xf numFmtId="4" fontId="10" fillId="0" borderId="46" xfId="0" applyNumberFormat="1" applyFont="1" applyBorder="1"/>
    <xf numFmtId="0" fontId="10" fillId="13" borderId="47" xfId="0" applyFont="1" applyFill="1" applyBorder="1" applyAlignment="1">
      <alignment horizontal="center"/>
    </xf>
    <xf numFmtId="0" fontId="10" fillId="13" borderId="48" xfId="0" applyFont="1" applyFill="1" applyBorder="1" applyAlignment="1">
      <alignment horizontal="center"/>
    </xf>
    <xf numFmtId="173" fontId="17" fillId="13" borderId="48" xfId="0" applyNumberFormat="1" applyFont="1" applyFill="1" applyBorder="1" applyAlignment="1">
      <alignment horizontal="center"/>
    </xf>
    <xf numFmtId="4" fontId="17" fillId="13" borderId="48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182" fontId="10" fillId="0" borderId="0" xfId="0" applyNumberFormat="1" applyFont="1"/>
    <xf numFmtId="0" fontId="0" fillId="0" borderId="0" xfId="0" applyFont="1" applyAlignment="1"/>
    <xf numFmtId="0" fontId="12" fillId="10" borderId="34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173" fontId="10" fillId="3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3" fontId="0" fillId="0" borderId="0" xfId="0" applyNumberFormat="1" applyFont="1" applyAlignment="1"/>
    <xf numFmtId="184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165" fontId="10" fillId="3" borderId="25" xfId="0" applyNumberFormat="1" applyFont="1" applyFill="1" applyBorder="1" applyAlignment="1">
      <alignment horizontal="right" vertical="center"/>
    </xf>
    <xf numFmtId="165" fontId="11" fillId="0" borderId="35" xfId="0" applyNumberFormat="1" applyFont="1" applyBorder="1"/>
    <xf numFmtId="4" fontId="17" fillId="0" borderId="47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/>
    </xf>
    <xf numFmtId="173" fontId="10" fillId="0" borderId="52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173" fontId="10" fillId="0" borderId="54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173" fontId="17" fillId="0" borderId="47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7" fontId="10" fillId="0" borderId="5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7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0" fillId="0" borderId="5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6" xfId="0" applyFont="1" applyFill="1" applyBorder="1"/>
    <xf numFmtId="185" fontId="0" fillId="0" borderId="0" xfId="0" applyNumberFormat="1" applyFont="1"/>
    <xf numFmtId="0" fontId="20" fillId="0" borderId="60" xfId="0" applyFont="1" applyBorder="1" applyAlignment="1">
      <alignment vertical="center" wrapText="1"/>
    </xf>
    <xf numFmtId="166" fontId="0" fillId="12" borderId="36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60" xfId="0" applyFont="1" applyBorder="1" applyAlignment="1">
      <alignment vertical="center"/>
    </xf>
    <xf numFmtId="0" fontId="0" fillId="0" borderId="16" xfId="0" applyFont="1" applyBorder="1"/>
    <xf numFmtId="37" fontId="0" fillId="0" borderId="16" xfId="0" applyNumberFormat="1" applyFont="1" applyBorder="1"/>
    <xf numFmtId="0" fontId="0" fillId="0" borderId="16" xfId="0" applyFont="1" applyBorder="1" applyAlignment="1"/>
    <xf numFmtId="166" fontId="0" fillId="12" borderId="70" xfId="0" applyNumberFormat="1" applyFont="1" applyFill="1" applyBorder="1" applyAlignment="1">
      <alignment horizontal="right"/>
    </xf>
    <xf numFmtId="166" fontId="0" fillId="12" borderId="71" xfId="0" applyNumberFormat="1" applyFont="1" applyFill="1" applyBorder="1" applyAlignment="1">
      <alignment horizontal="right"/>
    </xf>
    <xf numFmtId="166" fontId="0" fillId="12" borderId="72" xfId="0" applyNumberFormat="1" applyFont="1" applyFill="1" applyBorder="1" applyAlignment="1">
      <alignment horizontal="right"/>
    </xf>
    <xf numFmtId="166" fontId="0" fillId="12" borderId="60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/>
    <xf numFmtId="178" fontId="0" fillId="0" borderId="16" xfId="0" applyNumberFormat="1" applyFont="1" applyBorder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7" xfId="0" applyNumberFormat="1" applyFont="1" applyFill="1" applyBorder="1" applyAlignment="1">
      <alignment horizontal="right"/>
    </xf>
    <xf numFmtId="166" fontId="11" fillId="0" borderId="45" xfId="0" applyNumberFormat="1" applyFont="1" applyBorder="1"/>
    <xf numFmtId="174" fontId="11" fillId="4" borderId="14" xfId="0" applyNumberFormat="1" applyFont="1" applyFill="1" applyBorder="1"/>
    <xf numFmtId="166" fontId="11" fillId="0" borderId="35" xfId="0" applyNumberFormat="1" applyFont="1" applyBorder="1"/>
    <xf numFmtId="43" fontId="0" fillId="0" borderId="0" xfId="0" applyNumberFormat="1" applyFont="1"/>
    <xf numFmtId="43" fontId="20" fillId="0" borderId="0" xfId="0" applyNumberFormat="1" applyFont="1"/>
    <xf numFmtId="43" fontId="10" fillId="0" borderId="0" xfId="0" applyNumberFormat="1" applyFont="1"/>
    <xf numFmtId="0" fontId="0" fillId="0" borderId="0" xfId="0" applyFont="1" applyAlignment="1"/>
    <xf numFmtId="43" fontId="0" fillId="0" borderId="0" xfId="0" applyNumberFormat="1" applyFont="1" applyAlignment="1"/>
    <xf numFmtId="173" fontId="10" fillId="0" borderId="0" xfId="0" applyNumberFormat="1" applyFont="1"/>
    <xf numFmtId="166" fontId="11" fillId="12" borderId="37" xfId="0" applyNumberFormat="1" applyFont="1" applyFill="1" applyBorder="1" applyAlignment="1">
      <alignment horizontal="right"/>
    </xf>
    <xf numFmtId="165" fontId="11" fillId="0" borderId="35" xfId="0" applyNumberFormat="1" applyFont="1" applyBorder="1" applyAlignment="1">
      <alignment horizontal="right"/>
    </xf>
    <xf numFmtId="166" fontId="11" fillId="12" borderId="60" xfId="0" applyNumberFormat="1" applyFont="1" applyFill="1" applyBorder="1" applyAlignment="1">
      <alignment horizontal="right"/>
    </xf>
    <xf numFmtId="0" fontId="10" fillId="6" borderId="7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6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84" fontId="10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81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20" xfId="0" applyNumberFormat="1" applyFont="1" applyFill="1" applyBorder="1"/>
    <xf numFmtId="43" fontId="0" fillId="12" borderId="29" xfId="0" applyNumberFormat="1" applyFont="1" applyFill="1" applyBorder="1" applyAlignment="1">
      <alignment horizontal="right"/>
    </xf>
    <xf numFmtId="165" fontId="0" fillId="12" borderId="30" xfId="0" applyNumberFormat="1" applyFont="1" applyFill="1" applyBorder="1" applyAlignment="1">
      <alignment horizontal="right"/>
    </xf>
    <xf numFmtId="165" fontId="0" fillId="12" borderId="27" xfId="0" applyNumberFormat="1" applyFont="1" applyFill="1" applyBorder="1" applyAlignment="1">
      <alignment horizontal="right"/>
    </xf>
    <xf numFmtId="165" fontId="0" fillId="12" borderId="34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6" xfId="0" applyFont="1" applyFill="1" applyBorder="1"/>
    <xf numFmtId="166" fontId="0" fillId="12" borderId="27" xfId="0" applyNumberFormat="1" applyFont="1" applyFill="1" applyBorder="1" applyAlignment="1">
      <alignment horizontal="right"/>
    </xf>
    <xf numFmtId="166" fontId="0" fillId="12" borderId="35" xfId="0" applyNumberFormat="1" applyFont="1" applyFill="1" applyBorder="1" applyAlignment="1">
      <alignment horizontal="right"/>
    </xf>
    <xf numFmtId="0" fontId="0" fillId="0" borderId="0" xfId="0" applyFont="1" applyAlignment="1"/>
    <xf numFmtId="4" fontId="0" fillId="12" borderId="79" xfId="0" applyNumberFormat="1" applyFont="1" applyFill="1" applyBorder="1" applyAlignment="1"/>
    <xf numFmtId="4" fontId="11" fillId="12" borderId="60" xfId="0" applyNumberFormat="1" applyFont="1" applyFill="1" applyBorder="1"/>
    <xf numFmtId="165" fontId="11" fillId="12" borderId="60" xfId="0" applyNumberFormat="1" applyFont="1" applyFill="1" applyBorder="1"/>
    <xf numFmtId="43" fontId="0" fillId="0" borderId="16" xfId="0" applyNumberFormat="1" applyFont="1" applyFill="1" applyBorder="1"/>
    <xf numFmtId="165" fontId="11" fillId="12" borderId="27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16" xfId="0" applyBorder="1"/>
    <xf numFmtId="171" fontId="0" fillId="0" borderId="0" xfId="43" applyNumberFormat="1" applyFont="1" applyAlignment="1">
      <alignment horizontal="center"/>
    </xf>
    <xf numFmtId="167" fontId="0" fillId="8" borderId="16" xfId="0" applyNumberFormat="1" applyFont="1" applyFill="1" applyBorder="1"/>
    <xf numFmtId="180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3" fontId="0" fillId="0" borderId="16" xfId="0" applyNumberFormat="1" applyFont="1" applyFill="1" applyBorder="1"/>
    <xf numFmtId="3" fontId="0" fillId="0" borderId="16" xfId="0" applyNumberFormat="1" applyFont="1" applyFill="1" applyBorder="1" applyAlignment="1"/>
    <xf numFmtId="3" fontId="0" fillId="0" borderId="0" xfId="0" applyNumberFormat="1" applyFont="1" applyAlignment="1"/>
    <xf numFmtId="166" fontId="0" fillId="12" borderId="3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0" fontId="17" fillId="3" borderId="81" xfId="0" applyFont="1" applyFill="1" applyBorder="1" applyAlignment="1">
      <alignment horizontal="center" vertical="center" wrapText="1"/>
    </xf>
    <xf numFmtId="0" fontId="17" fillId="3" borderId="81" xfId="0" applyFont="1" applyFill="1" applyBorder="1"/>
    <xf numFmtId="173" fontId="17" fillId="3" borderId="81" xfId="0" applyNumberFormat="1" applyFont="1" applyFill="1" applyBorder="1" applyAlignment="1">
      <alignment horizontal="right"/>
    </xf>
    <xf numFmtId="165" fontId="17" fillId="3" borderId="82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6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6" fontId="1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/>
    <xf numFmtId="0" fontId="20" fillId="0" borderId="0" xfId="0" applyFont="1" applyAlignment="1"/>
    <xf numFmtId="178" fontId="10" fillId="0" borderId="0" xfId="0" applyNumberFormat="1" applyFont="1"/>
    <xf numFmtId="176" fontId="10" fillId="0" borderId="0" xfId="0" applyNumberFormat="1" applyFont="1" applyAlignment="1">
      <alignment horizontal="right"/>
    </xf>
    <xf numFmtId="173" fontId="10" fillId="0" borderId="50" xfId="0" applyNumberFormat="1" applyFont="1" applyBorder="1" applyAlignment="1">
      <alignment horizontal="center" vertical="center"/>
    </xf>
    <xf numFmtId="2" fontId="10" fillId="0" borderId="0" xfId="0" applyNumberFormat="1" applyFont="1"/>
    <xf numFmtId="0" fontId="0" fillId="0" borderId="0" xfId="0" applyFont="1" applyAlignment="1"/>
    <xf numFmtId="0" fontId="40" fillId="45" borderId="60" xfId="0" applyFont="1" applyFill="1" applyBorder="1" applyAlignment="1">
      <alignment horizontal="center" vertical="center"/>
    </xf>
    <xf numFmtId="0" fontId="39" fillId="0" borderId="0" xfId="0" applyFont="1"/>
    <xf numFmtId="0" fontId="42" fillId="0" borderId="0" xfId="0" applyFont="1"/>
    <xf numFmtId="0" fontId="42" fillId="45" borderId="60" xfId="0" applyFont="1" applyFill="1" applyBorder="1" applyAlignment="1"/>
    <xf numFmtId="0" fontId="42" fillId="0" borderId="60" xfId="0" applyFont="1" applyBorder="1"/>
    <xf numFmtId="43" fontId="42" fillId="47" borderId="60" xfId="0" applyNumberFormat="1" applyFont="1" applyFill="1" applyBorder="1"/>
    <xf numFmtId="43" fontId="42" fillId="0" borderId="60" xfId="0" applyNumberFormat="1" applyFont="1" applyBorder="1"/>
    <xf numFmtId="166" fontId="42" fillId="0" borderId="60" xfId="0" applyNumberFormat="1" applyFont="1" applyBorder="1"/>
    <xf numFmtId="165" fontId="42" fillId="0" borderId="60" xfId="0" applyNumberFormat="1" applyFont="1" applyBorder="1"/>
    <xf numFmtId="165" fontId="42" fillId="0" borderId="16" xfId="0" applyNumberFormat="1" applyFont="1" applyBorder="1"/>
    <xf numFmtId="0" fontId="42" fillId="8" borderId="60" xfId="0" applyFont="1" applyFill="1" applyBorder="1"/>
    <xf numFmtId="165" fontId="42" fillId="8" borderId="16" xfId="0" applyNumberFormat="1" applyFont="1" applyFill="1" applyBorder="1"/>
    <xf numFmtId="0" fontId="42" fillId="8" borderId="16" xfId="0" applyFont="1" applyFill="1" applyBorder="1" applyAlignment="1">
      <alignment horizontal="right"/>
    </xf>
    <xf numFmtId="43" fontId="42" fillId="0" borderId="0" xfId="0" applyNumberFormat="1" applyFont="1" applyAlignment="1"/>
    <xf numFmtId="43" fontId="42" fillId="8" borderId="16" xfId="0" applyNumberFormat="1" applyFont="1" applyFill="1" applyBorder="1"/>
    <xf numFmtId="0" fontId="42" fillId="8" borderId="16" xfId="0" applyFont="1" applyFill="1" applyBorder="1"/>
    <xf numFmtId="0" fontId="40" fillId="45" borderId="60" xfId="0" applyFont="1" applyFill="1" applyBorder="1" applyAlignment="1">
      <alignment horizontal="center" vertical="center" wrapText="1"/>
    </xf>
    <xf numFmtId="187" fontId="1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8" borderId="16" xfId="0" applyFont="1" applyFill="1" applyBorder="1" applyAlignment="1">
      <alignment horizontal="center"/>
    </xf>
    <xf numFmtId="166" fontId="11" fillId="4" borderId="15" xfId="0" applyNumberFormat="1" applyFont="1" applyFill="1" applyBorder="1"/>
    <xf numFmtId="166" fontId="0" fillId="4" borderId="36" xfId="0" applyNumberFormat="1" applyFont="1" applyFill="1" applyBorder="1" applyAlignment="1">
      <alignment horizontal="right"/>
    </xf>
    <xf numFmtId="165" fontId="11" fillId="4" borderId="60" xfId="0" applyNumberFormat="1" applyFont="1" applyFill="1" applyBorder="1"/>
    <xf numFmtId="0" fontId="20" fillId="0" borderId="16" xfId="0" applyFont="1" applyBorder="1"/>
    <xf numFmtId="0" fontId="12" fillId="10" borderId="3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68" fontId="10" fillId="0" borderId="0" xfId="0" applyNumberFormat="1" applyFont="1" applyAlignment="1">
      <alignment horizontal="left"/>
    </xf>
    <xf numFmtId="174" fontId="11" fillId="12" borderId="60" xfId="0" applyNumberFormat="1" applyFont="1" applyFill="1" applyBorder="1" applyAlignment="1">
      <alignment horizontal="right"/>
    </xf>
    <xf numFmtId="4" fontId="10" fillId="0" borderId="0" xfId="0" applyNumberFormat="1" applyFont="1"/>
    <xf numFmtId="0" fontId="0" fillId="0" borderId="0" xfId="0" applyFont="1" applyAlignment="1"/>
    <xf numFmtId="43" fontId="11" fillId="12" borderId="60" xfId="0" applyNumberFormat="1" applyFont="1" applyFill="1" applyBorder="1"/>
    <xf numFmtId="0" fontId="0" fillId="8" borderId="16" xfId="0" applyFont="1" applyFill="1" applyBorder="1" applyAlignment="1">
      <alignment horizontal="left"/>
    </xf>
    <xf numFmtId="165" fontId="0" fillId="8" borderId="16" xfId="45" applyFont="1" applyFill="1" applyBorder="1" applyAlignment="1">
      <alignment horizontal="left"/>
    </xf>
    <xf numFmtId="188" fontId="0" fillId="8" borderId="16" xfId="45" applyNumberFormat="1" applyFont="1" applyFill="1" applyBorder="1" applyAlignment="1">
      <alignment horizontal="left"/>
    </xf>
    <xf numFmtId="0" fontId="0" fillId="0" borderId="0" xfId="0" applyFont="1" applyAlignment="1"/>
    <xf numFmtId="43" fontId="0" fillId="12" borderId="60" xfId="0" applyNumberFormat="1" applyFont="1" applyFill="1" applyBorder="1"/>
    <xf numFmtId="0" fontId="5" fillId="0" borderId="16" xfId="0" applyFont="1" applyBorder="1" applyAlignment="1"/>
    <xf numFmtId="0" fontId="20" fillId="0" borderId="0" xfId="0" applyFont="1" applyAlignment="1">
      <alignment horizontal="left" wrapText="1"/>
    </xf>
    <xf numFmtId="0" fontId="13" fillId="10" borderId="28" xfId="0" applyFont="1" applyFill="1" applyBorder="1" applyAlignment="1">
      <alignment horizontal="center"/>
    </xf>
    <xf numFmtId="0" fontId="13" fillId="10" borderId="38" xfId="0" applyFont="1" applyFill="1" applyBorder="1" applyAlignment="1">
      <alignment horizontal="center"/>
    </xf>
    <xf numFmtId="166" fontId="4" fillId="4" borderId="20" xfId="0" applyNumberFormat="1" applyFont="1" applyFill="1" applyBorder="1" applyAlignment="1">
      <alignment horizontal="center" vertical="center"/>
    </xf>
    <xf numFmtId="166" fontId="4" fillId="4" borderId="36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3" fontId="0" fillId="12" borderId="20" xfId="0" applyNumberFormat="1" applyFont="1" applyFill="1" applyBorder="1" applyAlignment="1">
      <alignment horizontal="center"/>
    </xf>
    <xf numFmtId="43" fontId="0" fillId="12" borderId="36" xfId="0" applyNumberFormat="1" applyFont="1" applyFill="1" applyBorder="1" applyAlignment="1">
      <alignment horizontal="center"/>
    </xf>
    <xf numFmtId="43" fontId="0" fillId="12" borderId="35" xfId="0" applyNumberFormat="1" applyFont="1" applyFill="1" applyBorder="1" applyAlignment="1">
      <alignment horizontal="center"/>
    </xf>
    <xf numFmtId="43" fontId="0" fillId="12" borderId="84" xfId="0" applyNumberFormat="1" applyFont="1" applyFill="1" applyBorder="1" applyAlignment="1">
      <alignment horizontal="center"/>
    </xf>
    <xf numFmtId="43" fontId="0" fillId="12" borderId="85" xfId="0" applyNumberFormat="1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65" fontId="12" fillId="10" borderId="58" xfId="0" applyNumberFormat="1" applyFont="1" applyFill="1" applyBorder="1" applyAlignment="1">
      <alignment horizontal="center"/>
    </xf>
    <xf numFmtId="165" fontId="12" fillId="10" borderId="73" xfId="0" applyNumberFormat="1" applyFont="1" applyFill="1" applyBorder="1" applyAlignment="1">
      <alignment horizontal="center"/>
    </xf>
    <xf numFmtId="165" fontId="12" fillId="10" borderId="59" xfId="0" applyNumberFormat="1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4" fontId="0" fillId="12" borderId="79" xfId="0" applyNumberFormat="1" applyFont="1" applyFill="1" applyBorder="1" applyAlignment="1"/>
    <xf numFmtId="4" fontId="0" fillId="12" borderId="80" xfId="0" applyNumberFormat="1" applyFont="1" applyFill="1" applyBorder="1" applyAlignment="1"/>
    <xf numFmtId="165" fontId="4" fillId="12" borderId="20" xfId="0" applyNumberFormat="1" applyFont="1" applyFill="1" applyBorder="1" applyAlignment="1">
      <alignment horizontal="center" vertical="center"/>
    </xf>
    <xf numFmtId="165" fontId="4" fillId="12" borderId="36" xfId="0" applyNumberFormat="1" applyFont="1" applyFill="1" applyBorder="1" applyAlignment="1">
      <alignment horizontal="center" vertical="center"/>
    </xf>
    <xf numFmtId="165" fontId="4" fillId="12" borderId="35" xfId="0" applyNumberFormat="1" applyFont="1" applyFill="1" applyBorder="1" applyAlignment="1">
      <alignment horizontal="center" vertical="center"/>
    </xf>
    <xf numFmtId="174" fontId="0" fillId="4" borderId="20" xfId="0" applyNumberFormat="1" applyFont="1" applyFill="1" applyBorder="1" applyAlignment="1">
      <alignment horizontal="center" vertical="center"/>
    </xf>
    <xf numFmtId="174" fontId="0" fillId="4" borderId="36" xfId="0" applyNumberFormat="1" applyFont="1" applyFill="1" applyBorder="1" applyAlignment="1">
      <alignment horizontal="center" vertical="center"/>
    </xf>
    <xf numFmtId="174" fontId="0" fillId="4" borderId="35" xfId="0" applyNumberFormat="1" applyFont="1" applyFill="1" applyBorder="1" applyAlignment="1">
      <alignment horizontal="center" vertical="center"/>
    </xf>
    <xf numFmtId="165" fontId="0" fillId="4" borderId="20" xfId="0" applyNumberFormat="1" applyFont="1" applyFill="1" applyBorder="1" applyAlignment="1">
      <alignment horizontal="center" vertical="center"/>
    </xf>
    <xf numFmtId="165" fontId="0" fillId="4" borderId="36" xfId="0" applyNumberFormat="1" applyFont="1" applyFill="1" applyBorder="1" applyAlignment="1">
      <alignment horizontal="center" vertical="center"/>
    </xf>
    <xf numFmtId="165" fontId="0" fillId="4" borderId="35" xfId="0" applyNumberFormat="1" applyFont="1" applyFill="1" applyBorder="1" applyAlignment="1">
      <alignment horizontal="center" vertical="center"/>
    </xf>
    <xf numFmtId="165" fontId="0" fillId="12" borderId="28" xfId="0" applyNumberFormat="1" applyFont="1" applyFill="1" applyBorder="1" applyAlignment="1">
      <alignment horizontal="center" vertical="center"/>
    </xf>
    <xf numFmtId="165" fontId="0" fillId="12" borderId="37" xfId="0" applyNumberFormat="1" applyFont="1" applyFill="1" applyBorder="1" applyAlignment="1">
      <alignment horizontal="center" vertical="center"/>
    </xf>
    <xf numFmtId="165" fontId="0" fillId="12" borderId="83" xfId="0" applyNumberFormat="1" applyFont="1" applyFill="1" applyBorder="1" applyAlignment="1">
      <alignment horizontal="center" vertical="center"/>
    </xf>
    <xf numFmtId="174" fontId="0" fillId="12" borderId="20" xfId="0" applyNumberFormat="1" applyFont="1" applyFill="1" applyBorder="1" applyAlignment="1">
      <alignment horizontal="center" vertical="center"/>
    </xf>
    <xf numFmtId="174" fontId="0" fillId="12" borderId="36" xfId="0" applyNumberFormat="1" applyFont="1" applyFill="1" applyBorder="1" applyAlignment="1">
      <alignment horizontal="center" vertical="center"/>
    </xf>
    <xf numFmtId="174" fontId="0" fillId="12" borderId="74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6" xfId="0" applyFont="1" applyBorder="1"/>
    <xf numFmtId="0" fontId="5" fillId="0" borderId="35" xfId="0" applyFont="1" applyBorder="1"/>
    <xf numFmtId="0" fontId="15" fillId="4" borderId="36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2" fillId="0" borderId="16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0" xfId="0" applyFont="1" applyAlignment="1">
      <alignment horizontal="left" wrapText="1"/>
    </xf>
    <xf numFmtId="0" fontId="3" fillId="10" borderId="20" xfId="0" quotePrefix="1" applyFont="1" applyFill="1" applyBorder="1" applyAlignment="1">
      <alignment horizontal="center" vertical="center" wrapText="1"/>
    </xf>
    <xf numFmtId="0" fontId="3" fillId="10" borderId="35" xfId="0" quotePrefix="1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2" fillId="46" borderId="60" xfId="0" applyFont="1" applyFill="1" applyBorder="1" applyAlignment="1" applyProtection="1">
      <alignment horizontal="center" vertical="center" wrapText="1"/>
    </xf>
    <xf numFmtId="166" fontId="0" fillId="12" borderId="20" xfId="0" applyNumberFormat="1" applyFont="1" applyFill="1" applyBorder="1" applyAlignment="1">
      <alignment horizontal="center"/>
    </xf>
    <xf numFmtId="166" fontId="0" fillId="12" borderId="35" xfId="0" applyNumberFormat="1" applyFont="1" applyFill="1" applyBorder="1" applyAlignment="1">
      <alignment horizontal="center"/>
    </xf>
    <xf numFmtId="166" fontId="0" fillId="12" borderId="36" xfId="0" applyNumberFormat="1" applyFont="1" applyFill="1" applyBorder="1" applyAlignment="1">
      <alignment horizontal="center"/>
    </xf>
    <xf numFmtId="165" fontId="0" fillId="12" borderId="20" xfId="0" applyNumberFormat="1" applyFont="1" applyFill="1" applyBorder="1" applyAlignment="1">
      <alignment horizontal="center" vertical="center"/>
    </xf>
    <xf numFmtId="165" fontId="0" fillId="12" borderId="36" xfId="0" applyNumberFormat="1" applyFont="1" applyFill="1" applyBorder="1" applyAlignment="1">
      <alignment horizontal="center" vertical="center"/>
    </xf>
    <xf numFmtId="165" fontId="0" fillId="12" borderId="35" xfId="0" applyNumberFormat="1" applyFont="1" applyFill="1" applyBorder="1" applyAlignment="1">
      <alignment horizontal="center" vertical="center"/>
    </xf>
    <xf numFmtId="4" fontId="0" fillId="12" borderId="71" xfId="0" applyNumberFormat="1" applyFont="1" applyFill="1" applyBorder="1" applyAlignment="1"/>
    <xf numFmtId="4" fontId="0" fillId="12" borderId="72" xfId="0" applyNumberFormat="1" applyFont="1" applyFill="1" applyBorder="1" applyAlignment="1"/>
    <xf numFmtId="172" fontId="9" fillId="9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3" fillId="2" borderId="2" xfId="0" applyFont="1" applyFill="1" applyBorder="1" applyAlignment="1">
      <alignment horizontal="left"/>
    </xf>
    <xf numFmtId="0" fontId="5" fillId="0" borderId="4" xfId="0" applyFont="1" applyBorder="1"/>
    <xf numFmtId="0" fontId="5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0" xfId="0" applyFont="1" applyBorder="1"/>
  </cellXfs>
  <cellStyles count="4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Millares" xfId="45" builtinId="3"/>
    <cellStyle name="Neutral 2" xfId="15"/>
    <cellStyle name="Normal" xfId="0" builtinId="0"/>
    <cellStyle name="Normal 2" xfId="10"/>
    <cellStyle name="Normal 24 2" xfId="44"/>
    <cellStyle name="Notas 2" xfId="17"/>
    <cellStyle name="Porcentaje" xfId="43" builtinId="5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107155</xdr:colOff>
      <xdr:row>46</xdr:row>
      <xdr:rowOff>95251</xdr:rowOff>
    </xdr:from>
    <xdr:to>
      <xdr:col>7</xdr:col>
      <xdr:colOff>1232557</xdr:colOff>
      <xdr:row>46</xdr:row>
      <xdr:rowOff>461908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8E8C1E1-EEB1-4563-B801-BCC710DC81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4" r="47316"/>
        <a:stretch/>
      </xdr:blipFill>
      <xdr:spPr bwMode="auto">
        <a:xfrm>
          <a:off x="10286999" y="10918032"/>
          <a:ext cx="1125402" cy="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Z1000"/>
  <sheetViews>
    <sheetView showGridLines="0" tabSelected="1" zoomScale="80" zoomScaleNormal="80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312" customWidth="1"/>
    <col min="7" max="7" width="26.140625" style="312" customWidth="1"/>
    <col min="8" max="8" width="20.85546875" customWidth="1"/>
    <col min="9" max="9" width="19.85546875" customWidth="1"/>
    <col min="10" max="10" width="20.85546875" customWidth="1"/>
    <col min="11" max="11" width="19.85546875" customWidth="1"/>
    <col min="12" max="12" width="18.85546875" customWidth="1"/>
    <col min="13" max="13" width="18.85546875" style="294" customWidth="1"/>
    <col min="14" max="14" width="19.140625" style="262" customWidth="1"/>
    <col min="15" max="15" width="19.140625" customWidth="1"/>
    <col min="16" max="16" width="15.140625" customWidth="1"/>
    <col min="17" max="17" width="14.7109375" customWidth="1"/>
    <col min="18" max="18" width="14.42578125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3" customWidth="1"/>
    <col min="24" max="24" width="4.28515625" customWidth="1"/>
    <col min="25" max="33" width="1.5703125" customWidth="1"/>
    <col min="34" max="34" width="10.85546875" hidden="1" customWidth="1"/>
    <col min="35" max="35" width="10.7109375" hidden="1" customWidth="1"/>
    <col min="36" max="36" width="12.28515625" hidden="1" customWidth="1"/>
    <col min="37" max="37" width="13" hidden="1" customWidth="1"/>
    <col min="38" max="38" width="50.7109375" hidden="1" customWidth="1"/>
    <col min="39" max="39" width="20.28515625" hidden="1" customWidth="1"/>
    <col min="40" max="40" width="7.28515625" hidden="1" customWidth="1"/>
    <col min="41" max="41" width="16.42578125" hidden="1" customWidth="1"/>
    <col min="42" max="42" width="1.28515625" hidden="1" customWidth="1"/>
    <col min="43" max="43" width="14.7109375" hidden="1" customWidth="1"/>
    <col min="44" max="44" width="2.28515625" hidden="1" customWidth="1"/>
    <col min="45" max="45" width="16.140625" hidden="1" customWidth="1"/>
    <col min="46" max="46" width="11.5703125" hidden="1" customWidth="1"/>
    <col min="47" max="47" width="15.140625" hidden="1" customWidth="1"/>
    <col min="48" max="48" width="13" style="244" hidden="1" customWidth="1"/>
    <col min="49" max="49" width="2.28515625" style="244" hidden="1" customWidth="1"/>
    <col min="50" max="50" width="15.7109375" style="244" hidden="1" customWidth="1"/>
    <col min="51" max="51" width="16.140625" hidden="1" customWidth="1"/>
    <col min="52" max="52" width="13.42578125" hidden="1" customWidth="1"/>
    <col min="53" max="53" width="3.140625" customWidth="1"/>
  </cols>
  <sheetData>
    <row r="1" spans="1:52" x14ac:dyDescent="0.25">
      <c r="A1" s="27"/>
      <c r="B1" s="27"/>
      <c r="C1" s="56" t="s">
        <v>823</v>
      </c>
      <c r="D1" s="5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42"/>
      <c r="AW1" s="242"/>
      <c r="AX1" s="242"/>
      <c r="AY1" s="27"/>
      <c r="AZ1" s="27"/>
    </row>
    <row r="2" spans="1:52" x14ac:dyDescent="0.25">
      <c r="A2" s="27"/>
      <c r="B2" s="27"/>
      <c r="C2" s="56" t="s">
        <v>863</v>
      </c>
      <c r="D2" s="5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42"/>
      <c r="AW2" s="242"/>
      <c r="AX2" s="242"/>
      <c r="AY2" s="27"/>
      <c r="AZ2" s="27"/>
    </row>
    <row r="3" spans="1:52" x14ac:dyDescent="0.25">
      <c r="A3" s="27"/>
      <c r="B3" s="27"/>
      <c r="C3" s="56" t="s">
        <v>864</v>
      </c>
      <c r="D3" s="56"/>
      <c r="E3" s="441"/>
      <c r="F3" s="441"/>
      <c r="G3" s="441"/>
      <c r="H3" s="431"/>
      <c r="I3" s="431"/>
      <c r="J3" s="431"/>
      <c r="K3" s="431"/>
      <c r="L3" s="431"/>
      <c r="N3" s="390" t="s">
        <v>277</v>
      </c>
      <c r="O3" s="391"/>
      <c r="P3" s="391"/>
      <c r="Q3" s="391"/>
      <c r="R3" s="391"/>
      <c r="S3" s="391"/>
      <c r="T3" s="392"/>
      <c r="U3" s="345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42"/>
      <c r="AW3" s="242"/>
      <c r="AX3" s="242"/>
      <c r="AY3" s="27"/>
      <c r="AZ3" s="27"/>
    </row>
    <row r="4" spans="1:52" x14ac:dyDescent="0.25">
      <c r="A4" s="27"/>
      <c r="B4" s="27"/>
      <c r="C4" s="56"/>
      <c r="D4" s="56"/>
      <c r="E4" s="431"/>
      <c r="F4" s="431"/>
      <c r="G4" s="431"/>
      <c r="H4" s="431"/>
      <c r="I4" s="431"/>
      <c r="J4" s="431"/>
      <c r="K4" s="431"/>
      <c r="L4" s="431"/>
      <c r="N4" s="370" t="s">
        <v>10</v>
      </c>
      <c r="O4" s="57" t="s">
        <v>11</v>
      </c>
      <c r="P4" s="370" t="s">
        <v>12</v>
      </c>
      <c r="Q4" s="57" t="s">
        <v>13</v>
      </c>
      <c r="R4" s="370" t="s">
        <v>14</v>
      </c>
      <c r="S4" s="201" t="s">
        <v>20</v>
      </c>
      <c r="T4" s="58" t="s">
        <v>278</v>
      </c>
      <c r="W4" s="27"/>
      <c r="X4" s="439"/>
      <c r="Y4" s="440"/>
      <c r="Z4" s="440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42"/>
      <c r="AW4" s="242"/>
      <c r="AX4" s="242"/>
      <c r="AY4" s="27"/>
      <c r="AZ4" s="27"/>
    </row>
    <row r="5" spans="1:52" x14ac:dyDescent="0.25">
      <c r="A5" s="27"/>
      <c r="B5" s="27"/>
      <c r="C5" s="56"/>
      <c r="D5" s="56"/>
      <c r="E5" s="13"/>
      <c r="F5" s="13"/>
      <c r="G5" s="13"/>
      <c r="H5" s="13"/>
      <c r="I5" s="13"/>
      <c r="J5" s="13"/>
      <c r="K5" s="13"/>
      <c r="L5" s="27"/>
      <c r="M5" s="27"/>
      <c r="N5" s="59">
        <f>'CALCULO CC AGENTES'!F751</f>
        <v>814805.72888772609</v>
      </c>
      <c r="O5" s="60">
        <f>'CALCULO CC AGENTES'!F752</f>
        <v>441737.48060000001</v>
      </c>
      <c r="P5" s="60">
        <f>'CALCULO CC AGENTES'!F753</f>
        <v>742366.7182</v>
      </c>
      <c r="Q5" s="60">
        <f>'CALCULO CC AGENTES'!F754</f>
        <v>358588.84700000001</v>
      </c>
      <c r="R5" s="60">
        <f>'CALCULO CC AGENTES'!F755</f>
        <v>781326.03</v>
      </c>
      <c r="S5" s="60">
        <f>'CALCULO CC AGENTES'!F756</f>
        <v>737556.08010000002</v>
      </c>
      <c r="T5" s="60">
        <f>SUM(N5:S5)</f>
        <v>3876380.8847877262</v>
      </c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42"/>
      <c r="AW5" s="242"/>
      <c r="AX5" s="242"/>
      <c r="AY5" s="27"/>
      <c r="AZ5" s="27"/>
    </row>
    <row r="6" spans="1:52" ht="5.25" customHeight="1" x14ac:dyDescent="0.25">
      <c r="A6" s="27"/>
      <c r="B6" s="27"/>
      <c r="C6" s="56"/>
      <c r="D6" s="5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42"/>
      <c r="AW6" s="242"/>
      <c r="AX6" s="242"/>
      <c r="AY6" s="27"/>
      <c r="AZ6" s="27"/>
    </row>
    <row r="7" spans="1:52" ht="15.75" x14ac:dyDescent="0.25">
      <c r="A7" s="27"/>
      <c r="B7" s="27"/>
      <c r="C7" s="27"/>
      <c r="D7" s="385" t="s">
        <v>279</v>
      </c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3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42"/>
      <c r="AW7" s="242"/>
      <c r="AX7" s="242"/>
      <c r="AY7" s="27"/>
      <c r="AZ7" s="27"/>
    </row>
    <row r="8" spans="1:52" ht="43.5" customHeight="1" x14ac:dyDescent="0.25">
      <c r="A8" s="27"/>
      <c r="B8" s="27"/>
      <c r="C8" s="27"/>
      <c r="D8" s="61"/>
      <c r="E8" s="62" t="s">
        <v>280</v>
      </c>
      <c r="F8" s="63"/>
      <c r="G8" s="444" t="s">
        <v>281</v>
      </c>
      <c r="H8" s="444" t="s">
        <v>735</v>
      </c>
      <c r="I8" s="444" t="s">
        <v>667</v>
      </c>
      <c r="J8" s="444" t="s">
        <v>339</v>
      </c>
      <c r="K8" s="442" t="s">
        <v>340</v>
      </c>
      <c r="L8" s="442" t="s">
        <v>451</v>
      </c>
      <c r="M8" s="444" t="s">
        <v>282</v>
      </c>
      <c r="N8" s="410" t="s">
        <v>10</v>
      </c>
      <c r="O8" s="410" t="s">
        <v>11</v>
      </c>
      <c r="P8" s="410" t="s">
        <v>12</v>
      </c>
      <c r="Q8" s="410" t="s">
        <v>13</v>
      </c>
      <c r="R8" s="410" t="s">
        <v>14</v>
      </c>
      <c r="S8" s="410" t="s">
        <v>20</v>
      </c>
      <c r="T8" s="446" t="s">
        <v>668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42"/>
      <c r="AU8" s="242"/>
      <c r="AV8" s="242"/>
      <c r="AW8" s="27"/>
      <c r="AX8" s="27"/>
    </row>
    <row r="9" spans="1:52" ht="101.25" customHeight="1" x14ac:dyDescent="0.25">
      <c r="A9" s="64" t="s">
        <v>283</v>
      </c>
      <c r="B9" s="64" t="s">
        <v>284</v>
      </c>
      <c r="C9" s="65" t="s">
        <v>285</v>
      </c>
      <c r="D9" s="66" t="s">
        <v>783</v>
      </c>
      <c r="E9" s="67" t="s">
        <v>391</v>
      </c>
      <c r="F9" s="68" t="s">
        <v>286</v>
      </c>
      <c r="G9" s="445"/>
      <c r="H9" s="445"/>
      <c r="I9" s="445"/>
      <c r="J9" s="445"/>
      <c r="K9" s="443"/>
      <c r="L9" s="443"/>
      <c r="M9" s="445"/>
      <c r="N9" s="411"/>
      <c r="O9" s="411"/>
      <c r="P9" s="411"/>
      <c r="Q9" s="411"/>
      <c r="R9" s="411"/>
      <c r="S9" s="411"/>
      <c r="T9" s="446"/>
      <c r="V9" s="69"/>
      <c r="W9" s="69"/>
      <c r="X9" s="69"/>
      <c r="Y9" s="69"/>
      <c r="Z9" s="69"/>
      <c r="AA9" s="69"/>
      <c r="AB9" s="69"/>
      <c r="AC9" s="69"/>
      <c r="AD9" s="69"/>
      <c r="AE9" s="69"/>
      <c r="AF9" s="27"/>
      <c r="AG9" s="27"/>
      <c r="AH9" s="27"/>
      <c r="AI9" s="27"/>
      <c r="AJ9" s="70"/>
      <c r="AK9" s="71" t="s">
        <v>271</v>
      </c>
      <c r="AL9" s="71" t="s">
        <v>287</v>
      </c>
      <c r="AM9" s="240" t="s">
        <v>784</v>
      </c>
      <c r="AN9" s="27"/>
      <c r="AO9" s="240" t="s">
        <v>785</v>
      </c>
      <c r="AP9" s="27"/>
      <c r="AQ9" s="238" t="s">
        <v>609</v>
      </c>
      <c r="AR9" s="27"/>
      <c r="AS9" s="238" t="s">
        <v>608</v>
      </c>
      <c r="AT9" s="241" t="s">
        <v>392</v>
      </c>
      <c r="AU9" s="242"/>
      <c r="AV9" s="238" t="s">
        <v>612</v>
      </c>
      <c r="AW9" s="238" t="s">
        <v>610</v>
      </c>
      <c r="AX9" s="238" t="s">
        <v>611</v>
      </c>
    </row>
    <row r="10" spans="1:52" x14ac:dyDescent="0.25">
      <c r="A10" s="436" t="s">
        <v>5</v>
      </c>
      <c r="B10" s="72" t="s">
        <v>288</v>
      </c>
      <c r="C10" s="73" t="s">
        <v>289</v>
      </c>
      <c r="D10" s="74">
        <f t="shared" ref="D10:D21" si="0">AM10</f>
        <v>2262464</v>
      </c>
      <c r="E10" s="74">
        <f t="shared" ref="E10:E21" si="1">AO10</f>
        <v>188538.67</v>
      </c>
      <c r="F10" s="75">
        <v>0</v>
      </c>
      <c r="G10" s="76">
        <f>+E10-F10</f>
        <v>188538.67</v>
      </c>
      <c r="H10" s="417"/>
      <c r="I10" s="420"/>
      <c r="J10" s="420"/>
      <c r="K10" s="387">
        <f>+J10/6</f>
        <v>0</v>
      </c>
      <c r="L10" s="387"/>
      <c r="M10" s="75"/>
      <c r="N10" s="78"/>
      <c r="O10" s="79"/>
      <c r="P10" s="73"/>
      <c r="Q10" s="79"/>
      <c r="R10" s="73"/>
      <c r="S10" s="80"/>
      <c r="T10" s="73"/>
      <c r="V10" s="27"/>
      <c r="W10" s="69"/>
      <c r="X10" s="69"/>
      <c r="Y10" s="69"/>
      <c r="Z10" s="69"/>
      <c r="AA10" s="69"/>
      <c r="AB10" s="69"/>
      <c r="AC10" s="69"/>
      <c r="AD10" s="69"/>
      <c r="AE10" s="69"/>
      <c r="AF10" s="27"/>
      <c r="AG10" s="27"/>
      <c r="AH10" s="27">
        <v>1710</v>
      </c>
      <c r="AI10" s="27">
        <v>3190</v>
      </c>
      <c r="AJ10" s="364">
        <v>1</v>
      </c>
      <c r="AK10" s="82" t="s">
        <v>288</v>
      </c>
      <c r="AL10" s="82" t="s">
        <v>289</v>
      </c>
      <c r="AM10" s="83">
        <v>2262464</v>
      </c>
      <c r="AN10" s="27"/>
      <c r="AO10" s="84">
        <f t="shared" ref="AO10:AO21" si="2">ROUND(+AM10/12,2)</f>
        <v>188538.67</v>
      </c>
      <c r="AP10" s="27"/>
      <c r="AQ10" s="254">
        <v>0</v>
      </c>
      <c r="AR10" s="85"/>
      <c r="AS10" s="169">
        <f>ROUND(AQ10/12,2)</f>
        <v>0</v>
      </c>
      <c r="AT10" s="243">
        <f>+AS10-AO10</f>
        <v>-188538.67</v>
      </c>
      <c r="AU10" s="242"/>
      <c r="AV10" s="256">
        <f>+AO10*7</f>
        <v>1319770.6900000002</v>
      </c>
      <c r="AW10" s="208">
        <f>+AQ10-AV10</f>
        <v>-1319770.6900000002</v>
      </c>
      <c r="AX10" s="27">
        <f>ROUND(AW10/5,2)</f>
        <v>-263954.14</v>
      </c>
    </row>
    <row r="11" spans="1:52" x14ac:dyDescent="0.25">
      <c r="A11" s="437"/>
      <c r="B11" s="86" t="s">
        <v>288</v>
      </c>
      <c r="C11" s="87" t="s">
        <v>291</v>
      </c>
      <c r="D11" s="74">
        <f t="shared" si="0"/>
        <v>2053351</v>
      </c>
      <c r="E11" s="74">
        <f t="shared" si="1"/>
        <v>171112.58</v>
      </c>
      <c r="F11" s="77">
        <v>0</v>
      </c>
      <c r="G11" s="88">
        <f t="shared" ref="G11:G36" si="3">+E11-F11</f>
        <v>171112.58</v>
      </c>
      <c r="H11" s="418"/>
      <c r="I11" s="421"/>
      <c r="J11" s="421"/>
      <c r="K11" s="388"/>
      <c r="L11" s="388"/>
      <c r="M11" s="77"/>
      <c r="N11" s="87"/>
      <c r="O11" s="89"/>
      <c r="P11" s="87"/>
      <c r="Q11" s="89"/>
      <c r="R11" s="87"/>
      <c r="S11" s="90"/>
      <c r="T11" s="87"/>
      <c r="V11" s="27"/>
      <c r="W11" s="69"/>
      <c r="X11" s="69"/>
      <c r="Y11" s="69"/>
      <c r="Z11" s="69"/>
      <c r="AA11" s="69"/>
      <c r="AB11" s="69"/>
      <c r="AC11" s="69"/>
      <c r="AD11" s="69"/>
      <c r="AE11" s="69"/>
      <c r="AF11" s="27"/>
      <c r="AG11" s="27"/>
      <c r="AH11" s="27">
        <v>1124</v>
      </c>
      <c r="AI11" s="27">
        <v>29161</v>
      </c>
      <c r="AJ11" s="364">
        <v>1</v>
      </c>
      <c r="AK11" s="82" t="s">
        <v>288</v>
      </c>
      <c r="AL11" s="82" t="s">
        <v>291</v>
      </c>
      <c r="AM11" s="83">
        <v>2053351</v>
      </c>
      <c r="AN11" s="27"/>
      <c r="AO11" s="84">
        <f t="shared" si="2"/>
        <v>171112.58</v>
      </c>
      <c r="AP11" s="27"/>
      <c r="AQ11" s="254">
        <v>0</v>
      </c>
      <c r="AR11" s="85"/>
      <c r="AS11" s="169">
        <f t="shared" ref="AS11:AS36" si="4">ROUND(AQ11/12,2)</f>
        <v>0</v>
      </c>
      <c r="AT11" s="243">
        <f t="shared" ref="AT11:AT36" si="5">+AS11-AO11</f>
        <v>-171112.58</v>
      </c>
      <c r="AU11" s="242"/>
      <c r="AV11" s="256">
        <f t="shared" ref="AV11:AV36" si="6">+AO11*7</f>
        <v>1197788.0599999998</v>
      </c>
      <c r="AW11" s="208">
        <f t="shared" ref="AW11:AW36" si="7">+AQ11-AV11</f>
        <v>-1197788.0599999998</v>
      </c>
      <c r="AX11" s="27">
        <f t="shared" ref="AX11:AX36" si="8">ROUND(AW11/5,2)</f>
        <v>-239557.61</v>
      </c>
      <c r="AY11" s="235"/>
    </row>
    <row r="12" spans="1:52" x14ac:dyDescent="0.25">
      <c r="A12" s="437"/>
      <c r="B12" s="86" t="s">
        <v>292</v>
      </c>
      <c r="C12" s="87" t="s">
        <v>293</v>
      </c>
      <c r="D12" s="74">
        <f t="shared" si="0"/>
        <v>698374</v>
      </c>
      <c r="E12" s="74">
        <f t="shared" si="1"/>
        <v>58197.83</v>
      </c>
      <c r="F12" s="77">
        <v>0</v>
      </c>
      <c r="G12" s="88">
        <f t="shared" si="3"/>
        <v>58197.83</v>
      </c>
      <c r="H12" s="418"/>
      <c r="I12" s="421"/>
      <c r="J12" s="421"/>
      <c r="K12" s="388"/>
      <c r="L12" s="388"/>
      <c r="M12" s="77"/>
      <c r="N12" s="87"/>
      <c r="O12" s="89"/>
      <c r="P12" s="87"/>
      <c r="Q12" s="89"/>
      <c r="R12" s="87"/>
      <c r="S12" s="90"/>
      <c r="T12" s="87"/>
      <c r="V12" s="27"/>
      <c r="W12" s="69"/>
      <c r="X12" s="69"/>
      <c r="Y12" s="69"/>
      <c r="Z12" s="69"/>
      <c r="AA12" s="69"/>
      <c r="AB12" s="69"/>
      <c r="AC12" s="69"/>
      <c r="AD12" s="69"/>
      <c r="AE12" s="69"/>
      <c r="AF12" s="27"/>
      <c r="AG12" s="27"/>
      <c r="AH12" s="27">
        <v>28161</v>
      </c>
      <c r="AI12" s="27">
        <v>29161</v>
      </c>
      <c r="AJ12" s="364">
        <v>1</v>
      </c>
      <c r="AK12" s="82" t="s">
        <v>292</v>
      </c>
      <c r="AL12" s="82" t="s">
        <v>293</v>
      </c>
      <c r="AM12" s="83">
        <v>698374</v>
      </c>
      <c r="AN12" s="27"/>
      <c r="AO12" s="84">
        <f t="shared" si="2"/>
        <v>58197.83</v>
      </c>
      <c r="AP12" s="27"/>
      <c r="AQ12" s="314">
        <v>0</v>
      </c>
      <c r="AR12" s="85"/>
      <c r="AS12" s="169">
        <f t="shared" si="4"/>
        <v>0</v>
      </c>
      <c r="AT12" s="243">
        <f t="shared" si="5"/>
        <v>-58197.83</v>
      </c>
      <c r="AU12" s="242"/>
      <c r="AV12" s="256">
        <f t="shared" si="6"/>
        <v>407384.81</v>
      </c>
      <c r="AW12" s="208">
        <f t="shared" si="7"/>
        <v>-407384.81</v>
      </c>
      <c r="AX12" s="27">
        <f t="shared" si="8"/>
        <v>-81476.960000000006</v>
      </c>
      <c r="AY12" s="235"/>
    </row>
    <row r="13" spans="1:52" x14ac:dyDescent="0.25">
      <c r="A13" s="437"/>
      <c r="B13" s="86" t="s">
        <v>292</v>
      </c>
      <c r="C13" s="87" t="s">
        <v>294</v>
      </c>
      <c r="D13" s="74">
        <f t="shared" si="0"/>
        <v>2473995</v>
      </c>
      <c r="E13" s="74">
        <f t="shared" si="1"/>
        <v>206166.25</v>
      </c>
      <c r="F13" s="77">
        <v>0</v>
      </c>
      <c r="G13" s="88">
        <f t="shared" si="3"/>
        <v>206166.25</v>
      </c>
      <c r="H13" s="418"/>
      <c r="I13" s="421"/>
      <c r="J13" s="421"/>
      <c r="K13" s="388"/>
      <c r="L13" s="388"/>
      <c r="M13" s="77"/>
      <c r="N13" s="87"/>
      <c r="O13" s="89"/>
      <c r="P13" s="87"/>
      <c r="Q13" s="89"/>
      <c r="R13" s="87"/>
      <c r="S13" s="90"/>
      <c r="T13" s="87"/>
      <c r="V13" s="27"/>
      <c r="W13" s="69"/>
      <c r="X13" s="69"/>
      <c r="Y13" s="69"/>
      <c r="Z13" s="69"/>
      <c r="AA13" s="69"/>
      <c r="AB13" s="69"/>
      <c r="AC13" s="69"/>
      <c r="AD13" s="69"/>
      <c r="AE13" s="69"/>
      <c r="AF13" s="27"/>
      <c r="AG13" s="27"/>
      <c r="AH13" s="27">
        <v>28181</v>
      </c>
      <c r="AI13" s="27">
        <v>29182</v>
      </c>
      <c r="AJ13" s="364">
        <v>2</v>
      </c>
      <c r="AK13" s="82" t="s">
        <v>292</v>
      </c>
      <c r="AL13" s="82" t="s">
        <v>294</v>
      </c>
      <c r="AM13" s="83">
        <v>2473995</v>
      </c>
      <c r="AN13" s="27"/>
      <c r="AO13" s="84">
        <f t="shared" si="2"/>
        <v>206166.25</v>
      </c>
      <c r="AP13" s="27"/>
      <c r="AQ13" s="314">
        <v>0</v>
      </c>
      <c r="AR13" s="85"/>
      <c r="AS13" s="169">
        <f t="shared" si="4"/>
        <v>0</v>
      </c>
      <c r="AT13" s="243">
        <f t="shared" si="5"/>
        <v>-206166.25</v>
      </c>
      <c r="AU13" s="242"/>
      <c r="AV13" s="256">
        <f t="shared" si="6"/>
        <v>1443163.75</v>
      </c>
      <c r="AW13" s="208">
        <f t="shared" si="7"/>
        <v>-1443163.75</v>
      </c>
      <c r="AX13" s="27">
        <f t="shared" si="8"/>
        <v>-288632.75</v>
      </c>
      <c r="AY13" s="235"/>
    </row>
    <row r="14" spans="1:52" x14ac:dyDescent="0.25">
      <c r="A14" s="437"/>
      <c r="B14" s="86" t="s">
        <v>295</v>
      </c>
      <c r="C14" s="87" t="s">
        <v>296</v>
      </c>
      <c r="D14" s="74">
        <f t="shared" si="0"/>
        <v>2120390</v>
      </c>
      <c r="E14" s="74">
        <f t="shared" si="1"/>
        <v>176699.17</v>
      </c>
      <c r="F14" s="77">
        <v>0</v>
      </c>
      <c r="G14" s="88">
        <f t="shared" si="3"/>
        <v>176699.17</v>
      </c>
      <c r="H14" s="418"/>
      <c r="I14" s="421"/>
      <c r="J14" s="421"/>
      <c r="K14" s="388"/>
      <c r="L14" s="388"/>
      <c r="M14" s="77"/>
      <c r="N14" s="87"/>
      <c r="O14" s="89"/>
      <c r="P14" s="87"/>
      <c r="Q14" s="89"/>
      <c r="R14" s="87"/>
      <c r="S14" s="90"/>
      <c r="T14" s="87"/>
      <c r="V14" s="27"/>
      <c r="W14" s="69"/>
      <c r="X14" s="69"/>
      <c r="Y14" s="69"/>
      <c r="Z14" s="69"/>
      <c r="AA14" s="69"/>
      <c r="AB14" s="69"/>
      <c r="AC14" s="69"/>
      <c r="AD14" s="69"/>
      <c r="AE14" s="69"/>
      <c r="AF14" s="27"/>
      <c r="AG14" s="27"/>
      <c r="AH14" s="27">
        <v>3183</v>
      </c>
      <c r="AI14" s="27">
        <v>3190</v>
      </c>
      <c r="AJ14" s="364">
        <v>1</v>
      </c>
      <c r="AK14" s="82" t="s">
        <v>295</v>
      </c>
      <c r="AL14" s="82" t="s">
        <v>296</v>
      </c>
      <c r="AM14" s="83">
        <v>2120390</v>
      </c>
      <c r="AN14" s="27"/>
      <c r="AO14" s="84">
        <f t="shared" si="2"/>
        <v>176699.17</v>
      </c>
      <c r="AP14" s="27"/>
      <c r="AQ14" s="315">
        <v>0</v>
      </c>
      <c r="AR14" s="85"/>
      <c r="AS14" s="169">
        <f t="shared" si="4"/>
        <v>0</v>
      </c>
      <c r="AT14" s="243">
        <f t="shared" si="5"/>
        <v>-176699.17</v>
      </c>
      <c r="AU14" s="242"/>
      <c r="AV14" s="256">
        <f t="shared" si="6"/>
        <v>1236894.1900000002</v>
      </c>
      <c r="AW14" s="208">
        <f t="shared" si="7"/>
        <v>-1236894.1900000002</v>
      </c>
      <c r="AX14" s="27">
        <f t="shared" si="8"/>
        <v>-247378.84</v>
      </c>
      <c r="AY14" s="235"/>
    </row>
    <row r="15" spans="1:52" x14ac:dyDescent="0.25">
      <c r="A15" s="437"/>
      <c r="B15" s="86" t="s">
        <v>295</v>
      </c>
      <c r="C15" s="87" t="s">
        <v>297</v>
      </c>
      <c r="D15" s="74">
        <f t="shared" si="0"/>
        <v>1542808</v>
      </c>
      <c r="E15" s="74">
        <f t="shared" si="1"/>
        <v>128567.33</v>
      </c>
      <c r="F15" s="77">
        <v>0</v>
      </c>
      <c r="G15" s="88">
        <f t="shared" si="3"/>
        <v>128567.33</v>
      </c>
      <c r="H15" s="418"/>
      <c r="I15" s="421"/>
      <c r="J15" s="421"/>
      <c r="K15" s="388"/>
      <c r="L15" s="388"/>
      <c r="M15" s="77"/>
      <c r="N15" s="87"/>
      <c r="O15" s="89"/>
      <c r="P15" s="87"/>
      <c r="Q15" s="89"/>
      <c r="R15" s="87"/>
      <c r="S15" s="90"/>
      <c r="T15" s="87"/>
      <c r="V15" s="27"/>
      <c r="W15" s="69"/>
      <c r="X15" s="69"/>
      <c r="Y15" s="69"/>
      <c r="Z15" s="69"/>
      <c r="AA15" s="69"/>
      <c r="AB15" s="69"/>
      <c r="AC15" s="69"/>
      <c r="AD15" s="69"/>
      <c r="AE15" s="69"/>
      <c r="AF15" s="27"/>
      <c r="AG15" s="27"/>
      <c r="AH15" s="27">
        <v>3301</v>
      </c>
      <c r="AI15" s="27">
        <v>29182</v>
      </c>
      <c r="AJ15" s="364">
        <v>2</v>
      </c>
      <c r="AK15" s="82" t="s">
        <v>295</v>
      </c>
      <c r="AL15" s="82" t="s">
        <v>297</v>
      </c>
      <c r="AM15" s="83">
        <v>1542808</v>
      </c>
      <c r="AN15" s="27"/>
      <c r="AO15" s="84">
        <f t="shared" si="2"/>
        <v>128567.33</v>
      </c>
      <c r="AP15" s="27"/>
      <c r="AQ15" s="314">
        <v>0</v>
      </c>
      <c r="AR15" s="85"/>
      <c r="AS15" s="169">
        <f t="shared" si="4"/>
        <v>0</v>
      </c>
      <c r="AT15" s="243">
        <f t="shared" si="5"/>
        <v>-128567.33</v>
      </c>
      <c r="AU15" s="242"/>
      <c r="AV15" s="256">
        <f t="shared" si="6"/>
        <v>899971.31</v>
      </c>
      <c r="AW15" s="208">
        <f t="shared" si="7"/>
        <v>-899971.31</v>
      </c>
      <c r="AX15" s="27">
        <f t="shared" si="8"/>
        <v>-179994.26</v>
      </c>
      <c r="AY15" s="235"/>
    </row>
    <row r="16" spans="1:52" x14ac:dyDescent="0.25">
      <c r="A16" s="437"/>
      <c r="B16" s="86" t="s">
        <v>295</v>
      </c>
      <c r="C16" s="87" t="s">
        <v>298</v>
      </c>
      <c r="D16" s="74">
        <f t="shared" si="0"/>
        <v>1713414</v>
      </c>
      <c r="E16" s="74">
        <f t="shared" si="1"/>
        <v>142784.5</v>
      </c>
      <c r="F16" s="77">
        <v>0</v>
      </c>
      <c r="G16" s="88">
        <f t="shared" si="3"/>
        <v>142784.5</v>
      </c>
      <c r="H16" s="418"/>
      <c r="I16" s="421"/>
      <c r="J16" s="421"/>
      <c r="K16" s="388"/>
      <c r="L16" s="388"/>
      <c r="M16" s="77"/>
      <c r="N16" s="87"/>
      <c r="O16" s="89"/>
      <c r="P16" s="87"/>
      <c r="Q16" s="89"/>
      <c r="R16" s="87"/>
      <c r="S16" s="90"/>
      <c r="T16" s="87"/>
      <c r="V16" s="27"/>
      <c r="W16" s="69"/>
      <c r="X16" s="69"/>
      <c r="Y16" s="69"/>
      <c r="Z16" s="69"/>
      <c r="AA16" s="69"/>
      <c r="AB16" s="69"/>
      <c r="AC16" s="69"/>
      <c r="AD16" s="69"/>
      <c r="AE16" s="69"/>
      <c r="AF16" s="27"/>
      <c r="AG16" s="27"/>
      <c r="AH16" s="27">
        <v>3301</v>
      </c>
      <c r="AI16" s="27">
        <v>4411</v>
      </c>
      <c r="AJ16" s="364">
        <v>1</v>
      </c>
      <c r="AK16" s="82" t="s">
        <v>295</v>
      </c>
      <c r="AL16" s="82" t="s">
        <v>298</v>
      </c>
      <c r="AM16" s="83">
        <v>1713414</v>
      </c>
      <c r="AN16" s="27"/>
      <c r="AO16" s="84">
        <f t="shared" si="2"/>
        <v>142784.5</v>
      </c>
      <c r="AP16" s="27"/>
      <c r="AQ16" s="314">
        <v>0</v>
      </c>
      <c r="AR16" s="85"/>
      <c r="AS16" s="169">
        <f t="shared" si="4"/>
        <v>0</v>
      </c>
      <c r="AT16" s="243">
        <f t="shared" si="5"/>
        <v>-142784.5</v>
      </c>
      <c r="AU16" s="242"/>
      <c r="AV16" s="256">
        <f t="shared" si="6"/>
        <v>999491.5</v>
      </c>
      <c r="AW16" s="208">
        <f t="shared" si="7"/>
        <v>-999491.5</v>
      </c>
      <c r="AX16" s="27">
        <f t="shared" si="8"/>
        <v>-199898.3</v>
      </c>
      <c r="AY16" s="235"/>
    </row>
    <row r="17" spans="1:51" x14ac:dyDescent="0.25">
      <c r="A17" s="437"/>
      <c r="B17" s="86" t="s">
        <v>299</v>
      </c>
      <c r="C17" s="87" t="s">
        <v>300</v>
      </c>
      <c r="D17" s="74">
        <f t="shared" si="0"/>
        <v>3179833</v>
      </c>
      <c r="E17" s="74">
        <f t="shared" si="1"/>
        <v>264986.08</v>
      </c>
      <c r="F17" s="77">
        <v>0</v>
      </c>
      <c r="G17" s="88">
        <f t="shared" si="3"/>
        <v>264986.08</v>
      </c>
      <c r="H17" s="418"/>
      <c r="I17" s="421"/>
      <c r="J17" s="421"/>
      <c r="K17" s="388"/>
      <c r="L17" s="388"/>
      <c r="M17" s="77"/>
      <c r="N17" s="87"/>
      <c r="O17" s="89"/>
      <c r="P17" s="87"/>
      <c r="Q17" s="89"/>
      <c r="R17" s="87"/>
      <c r="S17" s="90"/>
      <c r="T17" s="87"/>
      <c r="V17" s="27"/>
      <c r="W17" s="69"/>
      <c r="X17" s="69"/>
      <c r="Y17" s="69"/>
      <c r="Z17" s="69"/>
      <c r="AA17" s="69"/>
      <c r="AB17" s="69"/>
      <c r="AC17" s="69"/>
      <c r="AD17" s="69"/>
      <c r="AE17" s="69"/>
      <c r="AF17" s="27"/>
      <c r="AG17" s="27"/>
      <c r="AH17" s="27">
        <v>4402</v>
      </c>
      <c r="AI17" s="27">
        <v>4411</v>
      </c>
      <c r="AJ17" s="364">
        <v>1</v>
      </c>
      <c r="AK17" s="82" t="s">
        <v>299</v>
      </c>
      <c r="AL17" s="82" t="s">
        <v>300</v>
      </c>
      <c r="AM17" s="83">
        <v>3179833</v>
      </c>
      <c r="AN17" s="27"/>
      <c r="AO17" s="84">
        <f t="shared" si="2"/>
        <v>264986.08</v>
      </c>
      <c r="AP17" s="27"/>
      <c r="AQ17" s="314">
        <v>0</v>
      </c>
      <c r="AR17" s="85"/>
      <c r="AS17" s="169">
        <f t="shared" si="4"/>
        <v>0</v>
      </c>
      <c r="AT17" s="243">
        <f t="shared" si="5"/>
        <v>-264986.08</v>
      </c>
      <c r="AU17" s="242"/>
      <c r="AV17" s="256">
        <f t="shared" si="6"/>
        <v>1854902.56</v>
      </c>
      <c r="AW17" s="208">
        <f t="shared" si="7"/>
        <v>-1854902.56</v>
      </c>
      <c r="AX17" s="27">
        <f t="shared" si="8"/>
        <v>-370980.51</v>
      </c>
      <c r="AY17" s="235"/>
    </row>
    <row r="18" spans="1:51" x14ac:dyDescent="0.25">
      <c r="A18" s="437"/>
      <c r="B18" s="86" t="s">
        <v>299</v>
      </c>
      <c r="C18" s="87" t="s">
        <v>301</v>
      </c>
      <c r="D18" s="74">
        <f t="shared" si="0"/>
        <v>3176150</v>
      </c>
      <c r="E18" s="74">
        <f t="shared" si="1"/>
        <v>264679.17</v>
      </c>
      <c r="F18" s="77">
        <v>0</v>
      </c>
      <c r="G18" s="88">
        <f t="shared" si="3"/>
        <v>264679.17</v>
      </c>
      <c r="H18" s="418"/>
      <c r="I18" s="421"/>
      <c r="J18" s="421"/>
      <c r="K18" s="388"/>
      <c r="L18" s="388"/>
      <c r="M18" s="77"/>
      <c r="N18" s="87"/>
      <c r="O18" s="89"/>
      <c r="P18" s="87"/>
      <c r="Q18" s="91"/>
      <c r="R18" s="87"/>
      <c r="S18" s="90"/>
      <c r="T18" s="87"/>
      <c r="V18" s="27"/>
      <c r="W18" s="69"/>
      <c r="X18" s="69"/>
      <c r="Y18" s="69"/>
      <c r="Z18" s="69"/>
      <c r="AA18" s="69"/>
      <c r="AB18" s="69"/>
      <c r="AC18" s="69"/>
      <c r="AD18" s="69"/>
      <c r="AE18" s="69"/>
      <c r="AF18" s="27"/>
      <c r="AG18" s="27"/>
      <c r="AH18" s="27">
        <v>4406</v>
      </c>
      <c r="AI18" s="27">
        <v>4412</v>
      </c>
      <c r="AJ18" s="364">
        <v>1</v>
      </c>
      <c r="AK18" s="82" t="s">
        <v>299</v>
      </c>
      <c r="AL18" s="82" t="s">
        <v>301</v>
      </c>
      <c r="AM18" s="83">
        <v>3176150</v>
      </c>
      <c r="AN18" s="27"/>
      <c r="AO18" s="84">
        <f t="shared" si="2"/>
        <v>264679.17</v>
      </c>
      <c r="AP18" s="27"/>
      <c r="AQ18" s="314">
        <v>0</v>
      </c>
      <c r="AR18" s="85"/>
      <c r="AS18" s="169">
        <f t="shared" si="4"/>
        <v>0</v>
      </c>
      <c r="AT18" s="243">
        <f t="shared" si="5"/>
        <v>-264679.17</v>
      </c>
      <c r="AU18" s="242"/>
      <c r="AV18" s="256">
        <f t="shared" si="6"/>
        <v>1852754.19</v>
      </c>
      <c r="AW18" s="208">
        <f t="shared" si="7"/>
        <v>-1852754.19</v>
      </c>
      <c r="AX18" s="27">
        <f t="shared" si="8"/>
        <v>-370550.84</v>
      </c>
      <c r="AY18" s="235"/>
    </row>
    <row r="19" spans="1:51" x14ac:dyDescent="0.25">
      <c r="A19" s="437"/>
      <c r="B19" s="86" t="s">
        <v>302</v>
      </c>
      <c r="C19" s="87" t="s">
        <v>303</v>
      </c>
      <c r="D19" s="74">
        <f t="shared" si="0"/>
        <v>4375253</v>
      </c>
      <c r="E19" s="74">
        <f t="shared" si="1"/>
        <v>364604.42</v>
      </c>
      <c r="F19" s="77">
        <v>0</v>
      </c>
      <c r="G19" s="88">
        <f t="shared" si="3"/>
        <v>364604.42</v>
      </c>
      <c r="H19" s="418"/>
      <c r="I19" s="421"/>
      <c r="J19" s="421"/>
      <c r="K19" s="388"/>
      <c r="L19" s="388"/>
      <c r="M19" s="77"/>
      <c r="N19" s="87"/>
      <c r="O19" s="89"/>
      <c r="P19" s="87"/>
      <c r="Q19" s="89"/>
      <c r="R19" s="92"/>
      <c r="S19" s="90"/>
      <c r="T19" s="92"/>
      <c r="V19" s="27"/>
      <c r="W19" s="69"/>
      <c r="X19" s="69"/>
      <c r="Y19" s="69"/>
      <c r="Z19" s="69"/>
      <c r="AA19" s="69"/>
      <c r="AB19" s="69"/>
      <c r="AC19" s="69"/>
      <c r="AD19" s="69"/>
      <c r="AE19" s="69"/>
      <c r="AF19" s="27"/>
      <c r="AG19" s="27"/>
      <c r="AH19" s="27">
        <v>4412</v>
      </c>
      <c r="AI19" s="27">
        <v>50050</v>
      </c>
      <c r="AJ19" s="364">
        <v>1</v>
      </c>
      <c r="AK19" s="82" t="s">
        <v>302</v>
      </c>
      <c r="AL19" s="82" t="s">
        <v>303</v>
      </c>
      <c r="AM19" s="83">
        <v>4375253</v>
      </c>
      <c r="AN19" s="27"/>
      <c r="AO19" s="84">
        <f t="shared" si="2"/>
        <v>364604.42</v>
      </c>
      <c r="AP19" s="27"/>
      <c r="AQ19" s="314">
        <v>0</v>
      </c>
      <c r="AR19" s="85"/>
      <c r="AS19" s="169">
        <f t="shared" si="4"/>
        <v>0</v>
      </c>
      <c r="AT19" s="243">
        <f t="shared" si="5"/>
        <v>-364604.42</v>
      </c>
      <c r="AU19" s="242"/>
      <c r="AV19" s="256">
        <f t="shared" si="6"/>
        <v>2552230.94</v>
      </c>
      <c r="AW19" s="208">
        <f t="shared" si="7"/>
        <v>-2552230.94</v>
      </c>
      <c r="AX19" s="27">
        <f t="shared" si="8"/>
        <v>-510446.19</v>
      </c>
      <c r="AY19" s="235"/>
    </row>
    <row r="20" spans="1:51" x14ac:dyDescent="0.25">
      <c r="A20" s="437"/>
      <c r="B20" s="86" t="s">
        <v>302</v>
      </c>
      <c r="C20" s="87" t="s">
        <v>304</v>
      </c>
      <c r="D20" s="74">
        <f t="shared" si="0"/>
        <v>876929</v>
      </c>
      <c r="E20" s="74">
        <f t="shared" si="1"/>
        <v>73077.42</v>
      </c>
      <c r="F20" s="77">
        <v>0</v>
      </c>
      <c r="G20" s="88">
        <f t="shared" si="3"/>
        <v>73077.42</v>
      </c>
      <c r="H20" s="418"/>
      <c r="I20" s="421"/>
      <c r="J20" s="421"/>
      <c r="K20" s="388"/>
      <c r="L20" s="388"/>
      <c r="M20" s="77"/>
      <c r="N20" s="87"/>
      <c r="O20" s="89"/>
      <c r="P20" s="87"/>
      <c r="Q20" s="89"/>
      <c r="R20" s="87"/>
      <c r="S20" s="93"/>
      <c r="T20" s="87"/>
      <c r="V20" s="27"/>
      <c r="W20" s="94"/>
      <c r="X20" s="94"/>
      <c r="Y20" s="94"/>
      <c r="Z20" s="94"/>
      <c r="AA20" s="94"/>
      <c r="AB20" s="94"/>
      <c r="AC20" s="94"/>
      <c r="AD20" s="94"/>
      <c r="AE20" s="94"/>
      <c r="AF20" s="27"/>
      <c r="AG20" s="27"/>
      <c r="AH20" s="27">
        <v>6500</v>
      </c>
      <c r="AI20" s="27">
        <v>56050</v>
      </c>
      <c r="AJ20" s="364">
        <v>1</v>
      </c>
      <c r="AK20" s="82" t="s">
        <v>302</v>
      </c>
      <c r="AL20" s="82" t="s">
        <v>304</v>
      </c>
      <c r="AM20" s="83">
        <v>876929</v>
      </c>
      <c r="AN20" s="27"/>
      <c r="AO20" s="84">
        <f t="shared" si="2"/>
        <v>73077.42</v>
      </c>
      <c r="AP20" s="27"/>
      <c r="AQ20" s="314">
        <v>0</v>
      </c>
      <c r="AR20" s="85"/>
      <c r="AS20" s="169">
        <f t="shared" si="4"/>
        <v>0</v>
      </c>
      <c r="AT20" s="243">
        <f t="shared" si="5"/>
        <v>-73077.42</v>
      </c>
      <c r="AU20" s="242"/>
      <c r="AV20" s="256">
        <f t="shared" si="6"/>
        <v>511541.94</v>
      </c>
      <c r="AW20" s="208">
        <f t="shared" si="7"/>
        <v>-511541.94</v>
      </c>
      <c r="AX20" s="27">
        <f t="shared" si="8"/>
        <v>-102308.39</v>
      </c>
      <c r="AY20" s="235"/>
    </row>
    <row r="21" spans="1:51" x14ac:dyDescent="0.25">
      <c r="A21" s="438"/>
      <c r="B21" s="98" t="s">
        <v>276</v>
      </c>
      <c r="C21" s="87" t="s">
        <v>306</v>
      </c>
      <c r="D21" s="74">
        <f t="shared" si="0"/>
        <v>174727</v>
      </c>
      <c r="E21" s="74">
        <f t="shared" si="1"/>
        <v>14560.58</v>
      </c>
      <c r="F21" s="100">
        <v>0</v>
      </c>
      <c r="G21" s="88">
        <f t="shared" si="3"/>
        <v>14560.58</v>
      </c>
      <c r="H21" s="419"/>
      <c r="I21" s="422"/>
      <c r="J21" s="422"/>
      <c r="K21" s="389"/>
      <c r="L21" s="389"/>
      <c r="M21" s="367"/>
      <c r="N21" s="87"/>
      <c r="O21" s="89"/>
      <c r="P21" s="87"/>
      <c r="Q21" s="89"/>
      <c r="R21" s="87"/>
      <c r="S21" s="93"/>
      <c r="T21" s="87"/>
      <c r="V21" s="27"/>
      <c r="W21" s="94"/>
      <c r="X21" s="94"/>
      <c r="Y21" s="94"/>
      <c r="Z21" s="94"/>
      <c r="AA21" s="94"/>
      <c r="AB21" s="94"/>
      <c r="AC21" s="94"/>
      <c r="AD21" s="94"/>
      <c r="AE21" s="94"/>
      <c r="AF21" s="27"/>
      <c r="AG21" s="27"/>
      <c r="AH21" s="27">
        <v>6440</v>
      </c>
      <c r="AI21" s="27">
        <v>6500</v>
      </c>
      <c r="AJ21" s="364" t="s">
        <v>423</v>
      </c>
      <c r="AK21" s="82" t="s">
        <v>276</v>
      </c>
      <c r="AL21" s="82" t="s">
        <v>306</v>
      </c>
      <c r="AM21" s="83">
        <v>174727</v>
      </c>
      <c r="AN21" s="27"/>
      <c r="AO21" s="84">
        <f t="shared" si="2"/>
        <v>14560.58</v>
      </c>
      <c r="AP21" s="27"/>
      <c r="AQ21" s="314">
        <v>0</v>
      </c>
      <c r="AR21" s="85"/>
      <c r="AS21" s="169">
        <f t="shared" si="4"/>
        <v>0</v>
      </c>
      <c r="AT21" s="243">
        <f t="shared" si="5"/>
        <v>-14560.58</v>
      </c>
      <c r="AU21" s="242"/>
      <c r="AV21" s="256">
        <f t="shared" si="6"/>
        <v>101924.06</v>
      </c>
      <c r="AW21" s="208">
        <f t="shared" si="7"/>
        <v>-101924.06</v>
      </c>
      <c r="AX21" s="27">
        <f t="shared" si="8"/>
        <v>-20384.810000000001</v>
      </c>
      <c r="AY21" s="235"/>
    </row>
    <row r="22" spans="1:51" x14ac:dyDescent="0.25">
      <c r="A22" s="27"/>
      <c r="B22" s="27"/>
      <c r="C22" s="107" t="s">
        <v>308</v>
      </c>
      <c r="D22" s="109">
        <f t="shared" ref="D22:E22" si="9">SUM(D10:D21)</f>
        <v>24647688</v>
      </c>
      <c r="E22" s="109">
        <f t="shared" si="9"/>
        <v>2053974</v>
      </c>
      <c r="F22" s="109">
        <f>SUM(F10:F21)</f>
        <v>0</v>
      </c>
      <c r="G22" s="207">
        <f>SUM(G10:G21)</f>
        <v>2053974</v>
      </c>
      <c r="H22" s="111"/>
      <c r="I22" s="112">
        <f>SUM(I10:I21)</f>
        <v>0</v>
      </c>
      <c r="J22" s="113">
        <f>SUM(J10:J21)</f>
        <v>0</v>
      </c>
      <c r="K22" s="296">
        <f>SUM(K10:K21)</f>
        <v>0</v>
      </c>
      <c r="L22" s="265"/>
      <c r="M22" s="368">
        <f>+G22-K22</f>
        <v>2053974</v>
      </c>
      <c r="N22" s="366">
        <f t="shared" ref="N22:S22" si="10">SUM(N10:N21)</f>
        <v>0</v>
      </c>
      <c r="O22" s="115">
        <f t="shared" si="10"/>
        <v>0</v>
      </c>
      <c r="P22" s="115">
        <f t="shared" si="10"/>
        <v>0</v>
      </c>
      <c r="Q22" s="115">
        <f t="shared" si="10"/>
        <v>0</v>
      </c>
      <c r="R22" s="115">
        <f t="shared" si="10"/>
        <v>0</v>
      </c>
      <c r="S22" s="115">
        <f t="shared" si="10"/>
        <v>0</v>
      </c>
      <c r="T22" s="289"/>
      <c r="V22" s="27"/>
      <c r="W22" s="69"/>
      <c r="X22" s="69"/>
      <c r="Y22" s="69"/>
      <c r="Z22" s="69"/>
      <c r="AA22" s="69"/>
      <c r="AB22" s="69"/>
      <c r="AC22" s="69"/>
      <c r="AD22" s="69"/>
      <c r="AE22" s="69"/>
      <c r="AF22" s="27"/>
      <c r="AG22" s="27"/>
      <c r="AH22" s="27"/>
      <c r="AI22" s="27"/>
      <c r="AJ22" s="364"/>
      <c r="AK22" s="116" t="s">
        <v>9</v>
      </c>
      <c r="AL22" s="27"/>
      <c r="AM22" s="117">
        <f>SUM(AM10:AM21)</f>
        <v>24647688</v>
      </c>
      <c r="AN22" s="27"/>
      <c r="AO22" s="27"/>
      <c r="AP22" s="27"/>
      <c r="AQ22" s="254">
        <f>SUM(AQ10:AQ21)</f>
        <v>0</v>
      </c>
      <c r="AR22" s="85"/>
      <c r="AS22" s="169"/>
      <c r="AT22" s="243"/>
      <c r="AU22" s="242"/>
      <c r="AV22" s="256"/>
      <c r="AW22" s="208"/>
      <c r="AX22" s="27">
        <f t="shared" si="8"/>
        <v>0</v>
      </c>
      <c r="AY22" s="235"/>
    </row>
    <row r="23" spans="1:51" ht="18.75" customHeight="1" x14ac:dyDescent="0.25">
      <c r="A23" s="432" t="s">
        <v>309</v>
      </c>
      <c r="B23" s="118" t="s">
        <v>288</v>
      </c>
      <c r="C23" s="118" t="s">
        <v>310</v>
      </c>
      <c r="D23" s="119">
        <f t="shared" ref="D23:D36" si="11">AM23</f>
        <v>2195742</v>
      </c>
      <c r="E23" s="120">
        <f t="shared" ref="E23:E36" si="12">AO23</f>
        <v>182978.5</v>
      </c>
      <c r="F23" s="121">
        <v>0</v>
      </c>
      <c r="G23" s="121">
        <f t="shared" si="3"/>
        <v>182978.5</v>
      </c>
      <c r="H23" s="414">
        <v>11998803.289999999</v>
      </c>
      <c r="I23" s="450">
        <v>0.75</v>
      </c>
      <c r="J23" s="426">
        <f>ROUND(IF(I23*H23&lt;=(D37/2),I23*H23,D37/2),2)</f>
        <v>8999102.4700000007</v>
      </c>
      <c r="K23" s="423">
        <f>ROUND(+J23/6,2)</f>
        <v>1499850.41</v>
      </c>
      <c r="L23" s="396">
        <f>ROUND($K$23*(N5/$T$5)-E48+F48,2)</f>
        <v>315264.87</v>
      </c>
      <c r="M23" s="397">
        <f>IF((G23+G24+G25)-L23&lt;0,0,(G23+G24+G25)-L23)</f>
        <v>165946.95999999996</v>
      </c>
      <c r="N23" s="447">
        <f>+M23</f>
        <v>165946.95999999996</v>
      </c>
      <c r="O23" s="121"/>
      <c r="P23" s="121"/>
      <c r="Q23" s="121"/>
      <c r="R23" s="121"/>
      <c r="S23" s="121"/>
      <c r="T23" s="412">
        <f>ROUND(IF(M23=0,L23-(G23+G24+G25),0),2)</f>
        <v>0</v>
      </c>
      <c r="V23" s="27"/>
      <c r="W23" s="69"/>
      <c r="X23" s="69"/>
      <c r="Y23" s="69"/>
      <c r="Z23" s="69"/>
      <c r="AA23" s="69"/>
      <c r="AB23" s="69"/>
      <c r="AC23" s="69"/>
      <c r="AD23" s="69"/>
      <c r="AE23" s="69"/>
      <c r="AF23" s="27"/>
      <c r="AG23" s="27"/>
      <c r="AH23" s="27">
        <v>1108</v>
      </c>
      <c r="AI23" s="27">
        <v>1771</v>
      </c>
      <c r="AJ23" s="364">
        <v>1</v>
      </c>
      <c r="AK23" s="82" t="s">
        <v>288</v>
      </c>
      <c r="AL23" s="82" t="s">
        <v>310</v>
      </c>
      <c r="AM23" s="123">
        <v>2195742</v>
      </c>
      <c r="AN23" s="27"/>
      <c r="AO23" s="84">
        <f t="shared" ref="AO23:AO36" si="13">ROUND(+AM23/12,2)</f>
        <v>182978.5</v>
      </c>
      <c r="AP23" s="27"/>
      <c r="AQ23" s="254">
        <v>0</v>
      </c>
      <c r="AR23" s="85"/>
      <c r="AS23" s="169">
        <f t="shared" si="4"/>
        <v>0</v>
      </c>
      <c r="AT23" s="243">
        <f t="shared" si="5"/>
        <v>-182978.5</v>
      </c>
      <c r="AU23" s="242"/>
      <c r="AV23" s="256">
        <f t="shared" si="6"/>
        <v>1280849.5</v>
      </c>
      <c r="AW23" s="208">
        <f t="shared" si="7"/>
        <v>-1280849.5</v>
      </c>
      <c r="AX23" s="27">
        <f t="shared" si="8"/>
        <v>-256169.9</v>
      </c>
      <c r="AY23" s="235"/>
    </row>
    <row r="24" spans="1:51" ht="18.75" customHeight="1" x14ac:dyDescent="0.25">
      <c r="A24" s="433"/>
      <c r="B24" s="124" t="s">
        <v>288</v>
      </c>
      <c r="C24" s="124" t="s">
        <v>311</v>
      </c>
      <c r="D24" s="125">
        <f t="shared" si="11"/>
        <v>1965171</v>
      </c>
      <c r="E24" s="126">
        <f t="shared" si="12"/>
        <v>163764.25</v>
      </c>
      <c r="F24" s="239">
        <v>0</v>
      </c>
      <c r="G24" s="239">
        <f t="shared" si="3"/>
        <v>163764.25</v>
      </c>
      <c r="H24" s="415"/>
      <c r="I24" s="451"/>
      <c r="J24" s="427"/>
      <c r="K24" s="424"/>
      <c r="L24" s="397"/>
      <c r="M24" s="397"/>
      <c r="N24" s="449"/>
      <c r="O24" s="130"/>
      <c r="P24" s="130"/>
      <c r="Q24" s="130"/>
      <c r="R24" s="130"/>
      <c r="S24" s="130"/>
      <c r="T24" s="453"/>
      <c r="V24" s="27"/>
      <c r="W24" s="69"/>
      <c r="X24" s="69"/>
      <c r="Y24" s="69"/>
      <c r="Z24" s="69"/>
      <c r="AA24" s="69"/>
      <c r="AB24" s="69"/>
      <c r="AC24" s="69"/>
      <c r="AD24" s="69"/>
      <c r="AE24" s="69"/>
      <c r="AF24" s="27"/>
      <c r="AG24" s="27"/>
      <c r="AH24" s="27">
        <v>1710</v>
      </c>
      <c r="AI24" s="27">
        <v>1771</v>
      </c>
      <c r="AJ24" s="364">
        <v>1</v>
      </c>
      <c r="AK24" s="82" t="s">
        <v>288</v>
      </c>
      <c r="AL24" s="82" t="s">
        <v>311</v>
      </c>
      <c r="AM24" s="123">
        <v>1965171</v>
      </c>
      <c r="AN24" s="27"/>
      <c r="AO24" s="84">
        <f t="shared" si="13"/>
        <v>163764.25</v>
      </c>
      <c r="AP24" s="27"/>
      <c r="AQ24" s="254">
        <v>0</v>
      </c>
      <c r="AR24" s="85"/>
      <c r="AS24" s="169">
        <f t="shared" si="4"/>
        <v>0</v>
      </c>
      <c r="AT24" s="243">
        <f t="shared" si="5"/>
        <v>-163764.25</v>
      </c>
      <c r="AU24" s="242"/>
      <c r="AV24" s="256">
        <f t="shared" si="6"/>
        <v>1146349.75</v>
      </c>
      <c r="AW24" s="208">
        <f t="shared" si="7"/>
        <v>-1146349.75</v>
      </c>
      <c r="AX24" s="27">
        <f t="shared" si="8"/>
        <v>-229269.95</v>
      </c>
      <c r="AY24" s="235"/>
    </row>
    <row r="25" spans="1:51" s="295" customFormat="1" ht="18.75" customHeight="1" x14ac:dyDescent="0.25">
      <c r="A25" s="434"/>
      <c r="B25" s="297" t="s">
        <v>288</v>
      </c>
      <c r="C25" s="297" t="s">
        <v>290</v>
      </c>
      <c r="D25" s="125">
        <f t="shared" si="11"/>
        <v>1613629</v>
      </c>
      <c r="E25" s="126">
        <f t="shared" si="12"/>
        <v>134469.07999999999</v>
      </c>
      <c r="F25" s="299"/>
      <c r="G25" s="299">
        <f t="shared" si="3"/>
        <v>134469.07999999999</v>
      </c>
      <c r="H25" s="415"/>
      <c r="I25" s="451"/>
      <c r="J25" s="427"/>
      <c r="K25" s="424"/>
      <c r="L25" s="398"/>
      <c r="M25" s="398"/>
      <c r="N25" s="448"/>
      <c r="O25" s="239"/>
      <c r="P25" s="239"/>
      <c r="Q25" s="151"/>
      <c r="R25" s="239"/>
      <c r="S25" s="298"/>
      <c r="T25" s="413"/>
      <c r="V25" s="27"/>
      <c r="W25" s="69"/>
      <c r="X25" s="69"/>
      <c r="Y25" s="69"/>
      <c r="Z25" s="69"/>
      <c r="AA25" s="69"/>
      <c r="AB25" s="69"/>
      <c r="AC25" s="69"/>
      <c r="AD25" s="69"/>
      <c r="AE25" s="69"/>
      <c r="AF25" s="27"/>
      <c r="AG25" s="27"/>
      <c r="AH25" s="27">
        <v>1101</v>
      </c>
      <c r="AI25" s="27">
        <v>1124</v>
      </c>
      <c r="AJ25" s="364">
        <v>1</v>
      </c>
      <c r="AK25" s="82" t="s">
        <v>288</v>
      </c>
      <c r="AL25" s="82" t="s">
        <v>290</v>
      </c>
      <c r="AM25" s="123">
        <v>1613629</v>
      </c>
      <c r="AN25" s="27"/>
      <c r="AO25" s="84">
        <f t="shared" si="13"/>
        <v>134469.07999999999</v>
      </c>
      <c r="AP25" s="27"/>
      <c r="AQ25" s="254">
        <v>0</v>
      </c>
      <c r="AR25" s="85"/>
      <c r="AS25" s="169">
        <f t="shared" si="4"/>
        <v>0</v>
      </c>
      <c r="AT25" s="243">
        <f t="shared" si="5"/>
        <v>-134469.07999999999</v>
      </c>
      <c r="AU25" s="242"/>
      <c r="AV25" s="256">
        <f t="shared" si="6"/>
        <v>941283.55999999994</v>
      </c>
      <c r="AW25" s="208">
        <f t="shared" si="7"/>
        <v>-941283.55999999994</v>
      </c>
      <c r="AX25" s="27">
        <f t="shared" si="8"/>
        <v>-188256.71</v>
      </c>
    </row>
    <row r="26" spans="1:51" ht="18.75" customHeight="1" x14ac:dyDescent="0.25">
      <c r="A26" s="433"/>
      <c r="B26" s="118" t="s">
        <v>292</v>
      </c>
      <c r="C26" s="118" t="s">
        <v>312</v>
      </c>
      <c r="D26" s="131">
        <f t="shared" si="11"/>
        <v>3403713</v>
      </c>
      <c r="E26" s="120">
        <f t="shared" si="12"/>
        <v>283642.75</v>
      </c>
      <c r="F26" s="121">
        <v>0</v>
      </c>
      <c r="G26" s="121">
        <f t="shared" si="3"/>
        <v>283642.75</v>
      </c>
      <c r="H26" s="415"/>
      <c r="I26" s="451"/>
      <c r="J26" s="427"/>
      <c r="K26" s="424"/>
      <c r="L26" s="396">
        <f>ROUND($K$23*(O5/$T$5)-E49+F49,2)</f>
        <v>170917.19</v>
      </c>
      <c r="M26" s="396">
        <f>IF((G26+G27)-L26&lt;0,0,(G26+G27)-L26)</f>
        <v>390027.39000000007</v>
      </c>
      <c r="N26" s="122"/>
      <c r="O26" s="447">
        <f>+M26</f>
        <v>390027.39000000007</v>
      </c>
      <c r="P26" s="118"/>
      <c r="Q26" s="132"/>
      <c r="R26" s="118"/>
      <c r="S26" s="133"/>
      <c r="T26" s="412">
        <f>ROUND(IF(M26=0,L26-(G26+G27),0),2)</f>
        <v>0</v>
      </c>
      <c r="V26" s="27"/>
      <c r="W26" s="69"/>
      <c r="X26" s="69"/>
      <c r="Y26" s="69"/>
      <c r="Z26" s="69"/>
      <c r="AA26" s="69"/>
      <c r="AB26" s="69"/>
      <c r="AC26" s="69"/>
      <c r="AD26" s="69"/>
      <c r="AE26" s="69"/>
      <c r="AF26" s="27"/>
      <c r="AG26" s="27"/>
      <c r="AH26" s="27">
        <v>28161</v>
      </c>
      <c r="AI26" s="27">
        <v>28371</v>
      </c>
      <c r="AJ26" s="364">
        <v>2</v>
      </c>
      <c r="AK26" s="82" t="s">
        <v>292</v>
      </c>
      <c r="AL26" s="82" t="s">
        <v>312</v>
      </c>
      <c r="AM26" s="123">
        <v>3403713</v>
      </c>
      <c r="AN26" s="27"/>
      <c r="AO26" s="84">
        <f t="shared" si="13"/>
        <v>283642.75</v>
      </c>
      <c r="AP26" s="27"/>
      <c r="AQ26" s="254">
        <v>0</v>
      </c>
      <c r="AR26" s="85"/>
      <c r="AS26" s="169">
        <f t="shared" si="4"/>
        <v>0</v>
      </c>
      <c r="AT26" s="243">
        <f t="shared" si="5"/>
        <v>-283642.75</v>
      </c>
      <c r="AU26" s="242"/>
      <c r="AV26" s="256">
        <f t="shared" si="6"/>
        <v>1985499.25</v>
      </c>
      <c r="AW26" s="208">
        <f t="shared" si="7"/>
        <v>-1985499.25</v>
      </c>
      <c r="AX26" s="27">
        <f t="shared" si="8"/>
        <v>-397099.85</v>
      </c>
      <c r="AY26" s="235"/>
    </row>
    <row r="27" spans="1:51" ht="18.75" customHeight="1" x14ac:dyDescent="0.25">
      <c r="A27" s="433"/>
      <c r="B27" s="124" t="s">
        <v>292</v>
      </c>
      <c r="C27" s="124" t="s">
        <v>313</v>
      </c>
      <c r="D27" s="125">
        <f t="shared" si="11"/>
        <v>3327622</v>
      </c>
      <c r="E27" s="126">
        <f t="shared" si="12"/>
        <v>277301.83</v>
      </c>
      <c r="F27" s="127">
        <v>0</v>
      </c>
      <c r="G27" s="127">
        <f t="shared" si="3"/>
        <v>277301.83</v>
      </c>
      <c r="H27" s="415"/>
      <c r="I27" s="451"/>
      <c r="J27" s="427"/>
      <c r="K27" s="424"/>
      <c r="L27" s="398"/>
      <c r="M27" s="398"/>
      <c r="N27" s="128"/>
      <c r="O27" s="448"/>
      <c r="P27" s="124"/>
      <c r="Q27" s="137"/>
      <c r="R27" s="124"/>
      <c r="S27" s="138"/>
      <c r="T27" s="413"/>
      <c r="V27" s="27"/>
      <c r="W27" s="69"/>
      <c r="X27" s="69"/>
      <c r="Y27" s="69"/>
      <c r="Z27" s="69"/>
      <c r="AA27" s="69"/>
      <c r="AB27" s="69"/>
      <c r="AC27" s="69"/>
      <c r="AD27" s="69"/>
      <c r="AE27" s="69"/>
      <c r="AF27" s="27"/>
      <c r="AG27" s="27"/>
      <c r="AH27" s="27">
        <v>28181</v>
      </c>
      <c r="AI27" s="27">
        <v>28371</v>
      </c>
      <c r="AJ27" s="364">
        <v>2</v>
      </c>
      <c r="AK27" s="82" t="s">
        <v>292</v>
      </c>
      <c r="AL27" s="82" t="s">
        <v>313</v>
      </c>
      <c r="AM27" s="123">
        <v>3327622</v>
      </c>
      <c r="AN27" s="27"/>
      <c r="AO27" s="84">
        <f t="shared" si="13"/>
        <v>277301.83</v>
      </c>
      <c r="AP27" s="27"/>
      <c r="AQ27" s="254">
        <v>0</v>
      </c>
      <c r="AR27" s="85"/>
      <c r="AS27" s="169">
        <f t="shared" si="4"/>
        <v>0</v>
      </c>
      <c r="AT27" s="243">
        <f t="shared" si="5"/>
        <v>-277301.83</v>
      </c>
      <c r="AU27" s="242"/>
      <c r="AV27" s="256">
        <f t="shared" si="6"/>
        <v>1941112.81</v>
      </c>
      <c r="AW27" s="208">
        <f t="shared" si="7"/>
        <v>-1941112.81</v>
      </c>
      <c r="AX27" s="27">
        <f t="shared" si="8"/>
        <v>-388222.56</v>
      </c>
      <c r="AY27" s="235"/>
    </row>
    <row r="28" spans="1:51" ht="18.75" customHeight="1" x14ac:dyDescent="0.25">
      <c r="A28" s="433"/>
      <c r="B28" s="118" t="s">
        <v>295</v>
      </c>
      <c r="C28" s="118" t="s">
        <v>314</v>
      </c>
      <c r="D28" s="131">
        <f t="shared" si="11"/>
        <v>1880985</v>
      </c>
      <c r="E28" s="120">
        <f t="shared" si="12"/>
        <v>156748.75</v>
      </c>
      <c r="F28" s="121">
        <v>0</v>
      </c>
      <c r="G28" s="121">
        <f t="shared" si="3"/>
        <v>156748.75</v>
      </c>
      <c r="H28" s="415"/>
      <c r="I28" s="451"/>
      <c r="J28" s="427"/>
      <c r="K28" s="424"/>
      <c r="L28" s="396">
        <f>ROUND($K$23*(P5/$T$5)-E50+F50,2)+0.01</f>
        <v>287236.75</v>
      </c>
      <c r="M28" s="396">
        <f>IF((G28+G29)-L28&lt;0,0,(G28+G29)-L28)</f>
        <v>0</v>
      </c>
      <c r="N28" s="122"/>
      <c r="O28" s="132"/>
      <c r="P28" s="447">
        <f>+M28</f>
        <v>0</v>
      </c>
      <c r="Q28" s="132"/>
      <c r="R28" s="118"/>
      <c r="S28" s="133"/>
      <c r="T28" s="412">
        <f>ROUND(IF(M28=0,L28-(G28+G29),0),2)</f>
        <v>24622.92</v>
      </c>
      <c r="V28" s="27"/>
      <c r="W28" s="69"/>
      <c r="X28" s="69"/>
      <c r="Y28" s="69"/>
      <c r="Z28" s="69"/>
      <c r="AA28" s="69"/>
      <c r="AB28" s="69"/>
      <c r="AC28" s="69"/>
      <c r="AD28" s="69"/>
      <c r="AE28" s="69"/>
      <c r="AF28" s="27"/>
      <c r="AG28" s="27"/>
      <c r="AH28" s="27">
        <v>3183</v>
      </c>
      <c r="AI28" s="27">
        <v>3300</v>
      </c>
      <c r="AJ28" s="364">
        <v>1</v>
      </c>
      <c r="AK28" s="82" t="s">
        <v>295</v>
      </c>
      <c r="AL28" s="82" t="s">
        <v>314</v>
      </c>
      <c r="AM28" s="123">
        <v>1880985</v>
      </c>
      <c r="AN28" s="27"/>
      <c r="AO28" s="84">
        <f t="shared" si="13"/>
        <v>156748.75</v>
      </c>
      <c r="AP28" s="27"/>
      <c r="AQ28" s="254">
        <v>0</v>
      </c>
      <c r="AR28" s="85"/>
      <c r="AS28" s="169">
        <f t="shared" si="4"/>
        <v>0</v>
      </c>
      <c r="AT28" s="243">
        <f t="shared" si="5"/>
        <v>-156748.75</v>
      </c>
      <c r="AU28" s="242"/>
      <c r="AV28" s="256">
        <f t="shared" si="6"/>
        <v>1097241.25</v>
      </c>
      <c r="AW28" s="208">
        <f t="shared" si="7"/>
        <v>-1097241.25</v>
      </c>
      <c r="AX28" s="27">
        <f t="shared" si="8"/>
        <v>-219448.25</v>
      </c>
      <c r="AY28" s="235"/>
    </row>
    <row r="29" spans="1:51" ht="18.75" customHeight="1" x14ac:dyDescent="0.25">
      <c r="A29" s="433"/>
      <c r="B29" s="124" t="s">
        <v>295</v>
      </c>
      <c r="C29" s="124" t="s">
        <v>315</v>
      </c>
      <c r="D29" s="125">
        <f t="shared" si="11"/>
        <v>1270381</v>
      </c>
      <c r="E29" s="126">
        <f t="shared" si="12"/>
        <v>105865.08</v>
      </c>
      <c r="F29" s="130">
        <v>0</v>
      </c>
      <c r="G29" s="127">
        <f t="shared" si="3"/>
        <v>105865.08</v>
      </c>
      <c r="H29" s="415"/>
      <c r="I29" s="451"/>
      <c r="J29" s="427"/>
      <c r="K29" s="424"/>
      <c r="L29" s="398"/>
      <c r="M29" s="398"/>
      <c r="N29" s="128"/>
      <c r="O29" s="137"/>
      <c r="P29" s="448"/>
      <c r="Q29" s="136"/>
      <c r="R29" s="124"/>
      <c r="S29" s="138"/>
      <c r="T29" s="413"/>
      <c r="U29" s="271"/>
      <c r="V29" s="27"/>
      <c r="W29" s="69"/>
      <c r="X29" s="69"/>
      <c r="Y29" s="69"/>
      <c r="Z29" s="69"/>
      <c r="AA29" s="69"/>
      <c r="AB29" s="69"/>
      <c r="AC29" s="69"/>
      <c r="AD29" s="69"/>
      <c r="AE29" s="69"/>
      <c r="AF29" s="27"/>
      <c r="AG29" s="27"/>
      <c r="AH29" s="27">
        <v>3032</v>
      </c>
      <c r="AI29" s="27">
        <v>3300</v>
      </c>
      <c r="AJ29" s="364">
        <v>1</v>
      </c>
      <c r="AK29" s="82" t="s">
        <v>295</v>
      </c>
      <c r="AL29" s="82" t="s">
        <v>315</v>
      </c>
      <c r="AM29" s="123">
        <v>1270381</v>
      </c>
      <c r="AN29" s="27"/>
      <c r="AO29" s="84">
        <f t="shared" si="13"/>
        <v>105865.08</v>
      </c>
      <c r="AP29" s="27"/>
      <c r="AQ29" s="254">
        <v>0</v>
      </c>
      <c r="AR29" s="85"/>
      <c r="AS29" s="169">
        <f t="shared" si="4"/>
        <v>0</v>
      </c>
      <c r="AT29" s="243">
        <f t="shared" si="5"/>
        <v>-105865.08</v>
      </c>
      <c r="AU29" s="242"/>
      <c r="AV29" s="256">
        <f t="shared" si="6"/>
        <v>741055.56</v>
      </c>
      <c r="AW29" s="208">
        <f t="shared" si="7"/>
        <v>-741055.56</v>
      </c>
      <c r="AX29" s="27">
        <f t="shared" si="8"/>
        <v>-148211.10999999999</v>
      </c>
      <c r="AY29" s="235"/>
    </row>
    <row r="30" spans="1:51" ht="18.75" customHeight="1" x14ac:dyDescent="0.25">
      <c r="A30" s="433"/>
      <c r="B30" s="118" t="s">
        <v>299</v>
      </c>
      <c r="C30" s="118" t="s">
        <v>317</v>
      </c>
      <c r="D30" s="131">
        <f t="shared" si="11"/>
        <v>2079150</v>
      </c>
      <c r="E30" s="245">
        <f t="shared" si="12"/>
        <v>173262.5</v>
      </c>
      <c r="F30" s="318">
        <v>0</v>
      </c>
      <c r="G30" s="121">
        <f t="shared" si="3"/>
        <v>173262.5</v>
      </c>
      <c r="H30" s="415"/>
      <c r="I30" s="451"/>
      <c r="J30" s="427"/>
      <c r="K30" s="424"/>
      <c r="L30" s="396">
        <f>ROUND($K$23*(Q5/$T$5)-E51+F51,2)</f>
        <v>138745.29999999999</v>
      </c>
      <c r="M30" s="396">
        <f>IF((G30+G31)-L30&lt;0,0,(G30+G31)-L30)</f>
        <v>100606.62</v>
      </c>
      <c r="N30" s="122"/>
      <c r="O30" s="132"/>
      <c r="P30" s="118"/>
      <c r="Q30" s="447">
        <f>+M30</f>
        <v>100606.62</v>
      </c>
      <c r="R30" s="122"/>
      <c r="S30" s="133"/>
      <c r="T30" s="412">
        <f>ROUND(IF(M30=0,L30-(G30+G31),0),2)</f>
        <v>0</v>
      </c>
      <c r="V30" s="27"/>
      <c r="W30" s="69"/>
      <c r="X30" s="69"/>
      <c r="Y30" s="69"/>
      <c r="Z30" s="69"/>
      <c r="AA30" s="69"/>
      <c r="AB30" s="69"/>
      <c r="AC30" s="69"/>
      <c r="AD30" s="69"/>
      <c r="AE30" s="69"/>
      <c r="AF30" s="27"/>
      <c r="AG30" s="27"/>
      <c r="AH30" s="27">
        <v>4402</v>
      </c>
      <c r="AI30" s="27">
        <v>4406</v>
      </c>
      <c r="AJ30" s="364">
        <v>1</v>
      </c>
      <c r="AK30" s="82" t="s">
        <v>299</v>
      </c>
      <c r="AL30" s="82" t="s">
        <v>317</v>
      </c>
      <c r="AM30" s="123">
        <v>2079150</v>
      </c>
      <c r="AN30" s="27"/>
      <c r="AO30" s="84">
        <f t="shared" si="13"/>
        <v>173262.5</v>
      </c>
      <c r="AP30" s="27"/>
      <c r="AQ30" s="254">
        <v>0</v>
      </c>
      <c r="AR30" s="85"/>
      <c r="AS30" s="169">
        <f t="shared" si="4"/>
        <v>0</v>
      </c>
      <c r="AT30" s="243">
        <f t="shared" si="5"/>
        <v>-173262.5</v>
      </c>
      <c r="AU30" s="242"/>
      <c r="AV30" s="256">
        <f t="shared" si="6"/>
        <v>1212837.5</v>
      </c>
      <c r="AW30" s="208">
        <f t="shared" si="7"/>
        <v>-1212837.5</v>
      </c>
      <c r="AX30" s="27">
        <f t="shared" si="8"/>
        <v>-242567.5</v>
      </c>
      <c r="AY30" s="235"/>
    </row>
    <row r="31" spans="1:51" ht="19.5" customHeight="1" x14ac:dyDescent="0.25">
      <c r="A31" s="433"/>
      <c r="B31" s="145" t="s">
        <v>299</v>
      </c>
      <c r="C31" s="145" t="s">
        <v>318</v>
      </c>
      <c r="D31" s="317">
        <f t="shared" si="11"/>
        <v>793073</v>
      </c>
      <c r="E31" s="247">
        <f t="shared" si="12"/>
        <v>66089.42</v>
      </c>
      <c r="F31" s="298">
        <v>0</v>
      </c>
      <c r="G31" s="127">
        <f t="shared" si="3"/>
        <v>66089.42</v>
      </c>
      <c r="H31" s="415"/>
      <c r="I31" s="451"/>
      <c r="J31" s="427"/>
      <c r="K31" s="424"/>
      <c r="L31" s="398"/>
      <c r="M31" s="398"/>
      <c r="N31" s="129"/>
      <c r="O31" s="146"/>
      <c r="P31" s="145"/>
      <c r="Q31" s="448"/>
      <c r="R31" s="129"/>
      <c r="S31" s="147"/>
      <c r="T31" s="413"/>
      <c r="V31" s="27"/>
      <c r="W31" s="69"/>
      <c r="X31" s="69"/>
      <c r="Y31" s="69"/>
      <c r="Z31" s="69"/>
      <c r="AA31" s="69"/>
      <c r="AB31" s="69"/>
      <c r="AC31" s="69"/>
      <c r="AD31" s="69"/>
      <c r="AE31" s="69"/>
      <c r="AF31" s="27"/>
      <c r="AG31" s="27"/>
      <c r="AH31" s="27">
        <v>4404</v>
      </c>
      <c r="AI31" s="27">
        <v>4800</v>
      </c>
      <c r="AJ31" s="364">
        <v>1</v>
      </c>
      <c r="AK31" s="82" t="s">
        <v>299</v>
      </c>
      <c r="AL31" s="82" t="s">
        <v>318</v>
      </c>
      <c r="AM31" s="123">
        <v>793073</v>
      </c>
      <c r="AN31" s="27"/>
      <c r="AO31" s="84">
        <f t="shared" si="13"/>
        <v>66089.42</v>
      </c>
      <c r="AP31" s="27"/>
      <c r="AQ31" s="254">
        <v>0</v>
      </c>
      <c r="AR31" s="85"/>
      <c r="AS31" s="169">
        <f t="shared" si="4"/>
        <v>0</v>
      </c>
      <c r="AT31" s="243">
        <f t="shared" si="5"/>
        <v>-66089.42</v>
      </c>
      <c r="AU31" s="242"/>
      <c r="AV31" s="256">
        <f t="shared" si="6"/>
        <v>462625.94</v>
      </c>
      <c r="AW31" s="208">
        <f t="shared" si="7"/>
        <v>-462625.94</v>
      </c>
      <c r="AX31" s="27">
        <f t="shared" si="8"/>
        <v>-92525.19</v>
      </c>
      <c r="AY31" s="235"/>
    </row>
    <row r="32" spans="1:51" ht="17.25" customHeight="1" x14ac:dyDescent="0.25">
      <c r="A32" s="433"/>
      <c r="B32" s="124" t="s">
        <v>302</v>
      </c>
      <c r="C32" s="124" t="s">
        <v>319</v>
      </c>
      <c r="D32" s="148">
        <f t="shared" si="11"/>
        <v>4716281</v>
      </c>
      <c r="E32" s="126">
        <f t="shared" si="12"/>
        <v>393023.42</v>
      </c>
      <c r="F32" s="245">
        <v>0</v>
      </c>
      <c r="G32" s="291">
        <f t="shared" si="3"/>
        <v>393023.42</v>
      </c>
      <c r="H32" s="415"/>
      <c r="I32" s="451"/>
      <c r="J32" s="427"/>
      <c r="K32" s="424"/>
      <c r="L32" s="399">
        <f>ROUND($K$23*(R5/$T$5)-E52+F52,2)</f>
        <v>302310.89</v>
      </c>
      <c r="M32" s="396">
        <f>IF(((G32+G33+G34+G35)-L32)&lt;0,0,((G32+G33+G34+G35)-L32))</f>
        <v>915300.03000000014</v>
      </c>
      <c r="N32" s="128"/>
      <c r="O32" s="137"/>
      <c r="P32" s="124"/>
      <c r="Q32" s="137"/>
      <c r="R32" s="447">
        <f>+M32</f>
        <v>915300.03000000014</v>
      </c>
      <c r="S32" s="138"/>
      <c r="T32" s="412">
        <f>ROUND(IF(M32=0,L32-(G32+G33+G34+G35),0),2)</f>
        <v>0</v>
      </c>
      <c r="V32" s="27"/>
      <c r="W32" s="69"/>
      <c r="X32" s="69"/>
      <c r="Y32" s="69"/>
      <c r="Z32" s="69"/>
      <c r="AA32" s="69"/>
      <c r="AB32" s="69"/>
      <c r="AC32" s="69"/>
      <c r="AD32" s="69"/>
      <c r="AE32" s="69"/>
      <c r="AF32" s="27"/>
      <c r="AG32" s="27"/>
      <c r="AH32" s="27">
        <v>50050</v>
      </c>
      <c r="AI32" s="27">
        <v>51450</v>
      </c>
      <c r="AJ32" s="365">
        <v>10</v>
      </c>
      <c r="AK32" s="82" t="s">
        <v>302</v>
      </c>
      <c r="AL32" s="82" t="s">
        <v>319</v>
      </c>
      <c r="AM32" s="123">
        <v>4716281</v>
      </c>
      <c r="AN32" s="27"/>
      <c r="AO32" s="84">
        <f t="shared" si="13"/>
        <v>393023.42</v>
      </c>
      <c r="AP32" s="27"/>
      <c r="AQ32" s="254">
        <v>0</v>
      </c>
      <c r="AR32" s="85"/>
      <c r="AS32" s="169">
        <f t="shared" si="4"/>
        <v>0</v>
      </c>
      <c r="AT32" s="243">
        <f t="shared" si="5"/>
        <v>-393023.42</v>
      </c>
      <c r="AU32" s="242"/>
      <c r="AV32" s="256">
        <f t="shared" si="6"/>
        <v>2751163.94</v>
      </c>
      <c r="AW32" s="208">
        <f t="shared" si="7"/>
        <v>-2751163.94</v>
      </c>
      <c r="AX32" s="27">
        <f t="shared" si="8"/>
        <v>-550232.79</v>
      </c>
      <c r="AY32" s="235"/>
    </row>
    <row r="33" spans="1:52" ht="17.25" customHeight="1" x14ac:dyDescent="0.25">
      <c r="A33" s="433"/>
      <c r="B33" s="124" t="s">
        <v>302</v>
      </c>
      <c r="C33" s="124" t="s">
        <v>320</v>
      </c>
      <c r="D33" s="148">
        <f t="shared" si="11"/>
        <v>1359750</v>
      </c>
      <c r="E33" s="126">
        <f t="shared" si="12"/>
        <v>113312.5</v>
      </c>
      <c r="F33" s="246">
        <v>0</v>
      </c>
      <c r="G33" s="292">
        <f t="shared" si="3"/>
        <v>113312.5</v>
      </c>
      <c r="H33" s="415"/>
      <c r="I33" s="451"/>
      <c r="J33" s="427"/>
      <c r="K33" s="424"/>
      <c r="L33" s="400"/>
      <c r="M33" s="397"/>
      <c r="N33" s="128"/>
      <c r="O33" s="137"/>
      <c r="P33" s="124"/>
      <c r="Q33" s="137"/>
      <c r="R33" s="449"/>
      <c r="S33" s="138"/>
      <c r="T33" s="453"/>
      <c r="V33" s="27"/>
      <c r="W33" s="69"/>
      <c r="X33" s="69"/>
      <c r="Y33" s="69"/>
      <c r="Z33" s="69"/>
      <c r="AA33" s="69"/>
      <c r="AB33" s="69"/>
      <c r="AC33" s="69"/>
      <c r="AD33" s="69"/>
      <c r="AE33" s="69"/>
      <c r="AF33" s="27"/>
      <c r="AG33" s="27"/>
      <c r="AH33" s="27">
        <v>51450</v>
      </c>
      <c r="AI33" s="27">
        <v>54000</v>
      </c>
      <c r="AJ33" s="364">
        <v>10</v>
      </c>
      <c r="AK33" s="82" t="s">
        <v>302</v>
      </c>
      <c r="AL33" s="82" t="s">
        <v>320</v>
      </c>
      <c r="AM33" s="123">
        <v>1359750</v>
      </c>
      <c r="AN33" s="27"/>
      <c r="AO33" s="84">
        <f t="shared" si="13"/>
        <v>113312.5</v>
      </c>
      <c r="AP33" s="27"/>
      <c r="AQ33" s="254">
        <v>0</v>
      </c>
      <c r="AR33" s="85"/>
      <c r="AS33" s="169">
        <f t="shared" si="4"/>
        <v>0</v>
      </c>
      <c r="AT33" s="243">
        <f t="shared" si="5"/>
        <v>-113312.5</v>
      </c>
      <c r="AU33" s="242"/>
      <c r="AV33" s="256">
        <f t="shared" si="6"/>
        <v>793187.5</v>
      </c>
      <c r="AW33" s="208">
        <f t="shared" si="7"/>
        <v>-793187.5</v>
      </c>
      <c r="AX33" s="27">
        <f t="shared" si="8"/>
        <v>-158637.5</v>
      </c>
      <c r="AY33" s="235"/>
    </row>
    <row r="34" spans="1:52" ht="17.25" customHeight="1" x14ac:dyDescent="0.25">
      <c r="A34" s="433"/>
      <c r="B34" s="124" t="s">
        <v>302</v>
      </c>
      <c r="C34" s="124" t="s">
        <v>321</v>
      </c>
      <c r="D34" s="125">
        <f t="shared" si="11"/>
        <v>6316064</v>
      </c>
      <c r="E34" s="126">
        <f t="shared" si="12"/>
        <v>526338.67000000004</v>
      </c>
      <c r="F34" s="246">
        <v>0</v>
      </c>
      <c r="G34" s="292">
        <f t="shared" si="3"/>
        <v>526338.67000000004</v>
      </c>
      <c r="H34" s="415"/>
      <c r="I34" s="451"/>
      <c r="J34" s="427"/>
      <c r="K34" s="424"/>
      <c r="L34" s="400">
        <f>$K$23*Q9/$T$5</f>
        <v>0</v>
      </c>
      <c r="M34" s="397"/>
      <c r="N34" s="128"/>
      <c r="O34" s="137"/>
      <c r="P34" s="124"/>
      <c r="Q34" s="137"/>
      <c r="R34" s="449"/>
      <c r="S34" s="138"/>
      <c r="T34" s="453"/>
      <c r="V34" s="27"/>
      <c r="W34" s="69"/>
      <c r="X34" s="69"/>
      <c r="Y34" s="69"/>
      <c r="Z34" s="69"/>
      <c r="AA34" s="69"/>
      <c r="AB34" s="69"/>
      <c r="AC34" s="69"/>
      <c r="AD34" s="69"/>
      <c r="AE34" s="69"/>
      <c r="AF34" s="27"/>
      <c r="AG34" s="27"/>
      <c r="AH34" s="27">
        <v>54000</v>
      </c>
      <c r="AI34" s="27">
        <v>56100</v>
      </c>
      <c r="AJ34" s="364">
        <v>10</v>
      </c>
      <c r="AK34" s="82" t="s">
        <v>302</v>
      </c>
      <c r="AL34" s="82" t="s">
        <v>321</v>
      </c>
      <c r="AM34" s="123">
        <v>6316064</v>
      </c>
      <c r="AN34" s="27"/>
      <c r="AO34" s="84">
        <f t="shared" si="13"/>
        <v>526338.67000000004</v>
      </c>
      <c r="AP34" s="27"/>
      <c r="AQ34" s="254">
        <v>0</v>
      </c>
      <c r="AR34" s="85"/>
      <c r="AS34" s="169">
        <f t="shared" si="4"/>
        <v>0</v>
      </c>
      <c r="AT34" s="243">
        <f t="shared" si="5"/>
        <v>-526338.67000000004</v>
      </c>
      <c r="AU34" s="242"/>
      <c r="AV34" s="256">
        <f t="shared" si="6"/>
        <v>3684370.6900000004</v>
      </c>
      <c r="AW34" s="208">
        <f t="shared" si="7"/>
        <v>-3684370.6900000004</v>
      </c>
      <c r="AX34" s="27">
        <f t="shared" si="8"/>
        <v>-736874.14</v>
      </c>
      <c r="AY34" s="235"/>
    </row>
    <row r="35" spans="1:52" ht="18.75" customHeight="1" x14ac:dyDescent="0.25">
      <c r="A35" s="433"/>
      <c r="B35" s="145" t="s">
        <v>302</v>
      </c>
      <c r="C35" s="145" t="s">
        <v>322</v>
      </c>
      <c r="D35" s="125">
        <f t="shared" si="11"/>
        <v>2219236</v>
      </c>
      <c r="E35" s="126">
        <f t="shared" si="12"/>
        <v>184936.33</v>
      </c>
      <c r="F35" s="247">
        <v>0</v>
      </c>
      <c r="G35" s="293">
        <f t="shared" si="3"/>
        <v>184936.33</v>
      </c>
      <c r="H35" s="415"/>
      <c r="I35" s="451"/>
      <c r="J35" s="427"/>
      <c r="K35" s="424"/>
      <c r="L35" s="400"/>
      <c r="M35" s="398"/>
      <c r="N35" s="129"/>
      <c r="O35" s="146"/>
      <c r="P35" s="145"/>
      <c r="Q35" s="146"/>
      <c r="R35" s="448"/>
      <c r="S35" s="147"/>
      <c r="T35" s="454"/>
      <c r="V35" s="27"/>
      <c r="W35" s="69"/>
      <c r="X35" s="69"/>
      <c r="Y35" s="69"/>
      <c r="Z35" s="69"/>
      <c r="AA35" s="69"/>
      <c r="AB35" s="69"/>
      <c r="AC35" s="69"/>
      <c r="AD35" s="69"/>
      <c r="AE35" s="69"/>
      <c r="AF35" s="27"/>
      <c r="AG35" s="27"/>
      <c r="AH35" s="27">
        <v>56050</v>
      </c>
      <c r="AI35" s="27">
        <v>56100</v>
      </c>
      <c r="AJ35" s="364">
        <v>10</v>
      </c>
      <c r="AK35" s="82" t="s">
        <v>302</v>
      </c>
      <c r="AL35" s="82" t="s">
        <v>322</v>
      </c>
      <c r="AM35" s="123">
        <v>2219236</v>
      </c>
      <c r="AN35" s="27"/>
      <c r="AO35" s="84">
        <f t="shared" si="13"/>
        <v>184936.33</v>
      </c>
      <c r="AP35" s="27"/>
      <c r="AQ35" s="254">
        <v>0</v>
      </c>
      <c r="AR35" s="85"/>
      <c r="AS35" s="169">
        <f t="shared" si="4"/>
        <v>0</v>
      </c>
      <c r="AT35" s="243">
        <f t="shared" si="5"/>
        <v>-184936.33</v>
      </c>
      <c r="AU35" s="242"/>
      <c r="AV35" s="256">
        <f t="shared" si="6"/>
        <v>1294554.3099999998</v>
      </c>
      <c r="AW35" s="208">
        <f t="shared" si="7"/>
        <v>-1294554.3099999998</v>
      </c>
      <c r="AX35" s="27">
        <f t="shared" si="8"/>
        <v>-258910.86</v>
      </c>
      <c r="AY35" s="235"/>
    </row>
    <row r="36" spans="1:52" ht="18.75" customHeight="1" x14ac:dyDescent="0.25">
      <c r="A36" s="435"/>
      <c r="B36" s="145" t="s">
        <v>276</v>
      </c>
      <c r="C36" s="145" t="s">
        <v>323</v>
      </c>
      <c r="D36" s="150">
        <f t="shared" si="11"/>
        <v>6026595</v>
      </c>
      <c r="E36" s="120">
        <f t="shared" si="12"/>
        <v>502216.25</v>
      </c>
      <c r="F36" s="248">
        <v>0</v>
      </c>
      <c r="G36" s="151">
        <f t="shared" si="3"/>
        <v>502216.25</v>
      </c>
      <c r="H36" s="416"/>
      <c r="I36" s="452"/>
      <c r="J36" s="428"/>
      <c r="K36" s="425"/>
      <c r="L36" s="382">
        <f>ROUND($K$23*(S5/$T$5)-E53+F53,2)</f>
        <v>285375.40999999997</v>
      </c>
      <c r="M36" s="290">
        <f>IF(((G36)-L36)&lt;0,0,((G36)-L36))</f>
        <v>216840.84000000003</v>
      </c>
      <c r="N36" s="128"/>
      <c r="O36" s="146"/>
      <c r="P36" s="145"/>
      <c r="Q36" s="146"/>
      <c r="R36" s="129"/>
      <c r="S36" s="149">
        <f>M36</f>
        <v>216840.84000000003</v>
      </c>
      <c r="T36" s="301">
        <f>ROUND(IF(M36=0,L36-(G36),0),2)</f>
        <v>0</v>
      </c>
      <c r="V36" s="27"/>
      <c r="W36" s="69"/>
      <c r="X36" s="69"/>
      <c r="Y36" s="69"/>
      <c r="Z36" s="69"/>
      <c r="AA36" s="69"/>
      <c r="AB36" s="69"/>
      <c r="AC36" s="69"/>
      <c r="AD36" s="69"/>
      <c r="AE36" s="69"/>
      <c r="AF36" s="27"/>
      <c r="AG36" s="27"/>
      <c r="AH36" s="27">
        <v>6182</v>
      </c>
      <c r="AI36" s="27">
        <v>6440</v>
      </c>
      <c r="AJ36" s="364" t="s">
        <v>424</v>
      </c>
      <c r="AK36" s="82" t="s">
        <v>276</v>
      </c>
      <c r="AL36" s="82" t="s">
        <v>323</v>
      </c>
      <c r="AM36" s="123">
        <v>6026595</v>
      </c>
      <c r="AN36" s="27"/>
      <c r="AO36" s="84">
        <f t="shared" si="13"/>
        <v>502216.25</v>
      </c>
      <c r="AP36" s="27"/>
      <c r="AQ36" s="254">
        <v>0</v>
      </c>
      <c r="AR36" s="85"/>
      <c r="AS36" s="169">
        <f t="shared" si="4"/>
        <v>0</v>
      </c>
      <c r="AT36" s="243">
        <f t="shared" si="5"/>
        <v>-502216.25</v>
      </c>
      <c r="AU36" s="242"/>
      <c r="AV36" s="256">
        <f t="shared" si="6"/>
        <v>3515513.75</v>
      </c>
      <c r="AW36" s="208">
        <f t="shared" si="7"/>
        <v>-3515513.75</v>
      </c>
      <c r="AX36" s="27">
        <f t="shared" si="8"/>
        <v>-703102.75</v>
      </c>
      <c r="AY36" s="235"/>
    </row>
    <row r="37" spans="1:52" ht="22.5" customHeight="1" x14ac:dyDescent="0.25">
      <c r="A37" s="27"/>
      <c r="B37" s="27"/>
      <c r="C37" s="152" t="s">
        <v>324</v>
      </c>
      <c r="D37" s="153">
        <f t="shared" ref="D37:E37" si="14">SUM(D23:D36)</f>
        <v>39167392</v>
      </c>
      <c r="E37" s="153">
        <f t="shared" si="14"/>
        <v>3263949.33</v>
      </c>
      <c r="F37" s="273">
        <v>0</v>
      </c>
      <c r="G37" s="275">
        <f>SUM(G23:G36)</f>
        <v>3263949.33</v>
      </c>
      <c r="H37" s="305">
        <f>SUM(H23:H36)</f>
        <v>11998803.289999999</v>
      </c>
      <c r="I37" s="263">
        <f>SUM(I23:I36)</f>
        <v>0.75</v>
      </c>
      <c r="J37" s="374">
        <f>SUM(J23)</f>
        <v>8999102.4700000007</v>
      </c>
      <c r="K37" s="303">
        <f t="shared" ref="K37:S37" si="15">SUM(K23:K36)</f>
        <v>1499850.41</v>
      </c>
      <c r="L37" s="377">
        <f t="shared" si="15"/>
        <v>1499850.41</v>
      </c>
      <c r="M37" s="303">
        <f t="shared" si="15"/>
        <v>1788721.8400000003</v>
      </c>
      <c r="N37" s="158">
        <f t="shared" si="15"/>
        <v>165946.95999999996</v>
      </c>
      <c r="O37" s="156">
        <f t="shared" si="15"/>
        <v>390027.39000000007</v>
      </c>
      <c r="P37" s="154">
        <f t="shared" si="15"/>
        <v>0</v>
      </c>
      <c r="Q37" s="156">
        <f t="shared" si="15"/>
        <v>100606.62</v>
      </c>
      <c r="R37" s="154">
        <f t="shared" si="15"/>
        <v>915300.03000000014</v>
      </c>
      <c r="S37" s="158">
        <f t="shared" si="15"/>
        <v>216840.84000000003</v>
      </c>
      <c r="T37" s="302">
        <f>ROUND(SUM(T23:T36),2)</f>
        <v>24622.92</v>
      </c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27"/>
      <c r="AG37" s="27"/>
      <c r="AH37" s="27"/>
      <c r="AI37" s="27"/>
      <c r="AJ37" s="70"/>
      <c r="AK37" s="27"/>
      <c r="AL37" s="27"/>
      <c r="AM37" s="169">
        <f>SUM(AM23:AM36)</f>
        <v>39167392</v>
      </c>
      <c r="AN37" s="27"/>
      <c r="AO37" s="27"/>
      <c r="AP37" s="159"/>
      <c r="AQ37" s="316">
        <f>SUM(AQ23:AQ36)</f>
        <v>0</v>
      </c>
      <c r="AR37" s="27"/>
      <c r="AS37" s="237"/>
      <c r="AT37" s="242"/>
      <c r="AU37" s="242"/>
      <c r="AV37" s="242"/>
      <c r="AW37" s="27"/>
      <c r="AX37" s="27"/>
    </row>
    <row r="38" spans="1:52" x14ac:dyDescent="0.25">
      <c r="A38" s="27"/>
      <c r="B38" s="27"/>
      <c r="C38" s="160" t="s">
        <v>325</v>
      </c>
      <c r="D38" s="162">
        <f t="shared" ref="D38:E38" si="16">+D22+D37</f>
        <v>63815080</v>
      </c>
      <c r="E38" s="162">
        <f t="shared" si="16"/>
        <v>5317923.33</v>
      </c>
      <c r="F38" s="162">
        <f>SUM(F23:F37)</f>
        <v>0</v>
      </c>
      <c r="G38" s="274">
        <f>+G22+G37</f>
        <v>5317923.33</v>
      </c>
      <c r="H38" s="162"/>
      <c r="I38" s="162"/>
      <c r="J38" s="264"/>
      <c r="K38" s="266"/>
      <c r="L38" s="266"/>
      <c r="M38" s="218">
        <f>ROUND(+M22+M37,2)</f>
        <v>3842695.84</v>
      </c>
      <c r="N38" s="164"/>
      <c r="O38" s="70"/>
      <c r="P38" s="70"/>
      <c r="Q38" s="70"/>
      <c r="R38" s="70"/>
      <c r="S38" s="70"/>
      <c r="T38" s="302">
        <f>ROUND(IF(M38-G38&lt;0,0,M38-G38),2)</f>
        <v>0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70"/>
      <c r="AK38" s="27"/>
      <c r="AL38" s="27"/>
      <c r="AM38" s="108"/>
      <c r="AN38" s="27"/>
      <c r="AO38" s="27"/>
      <c r="AP38" s="27"/>
      <c r="AQ38" s="27"/>
      <c r="AR38" s="27"/>
      <c r="AS38" s="27"/>
      <c r="AT38" s="242"/>
      <c r="AU38" s="242"/>
      <c r="AV38" s="242"/>
      <c r="AW38" s="27"/>
      <c r="AX38" s="27"/>
    </row>
    <row r="39" spans="1:52" x14ac:dyDescent="0.25">
      <c r="A39" s="27"/>
      <c r="B39" s="27"/>
      <c r="C39" s="27"/>
      <c r="D39" s="27"/>
      <c r="E39" s="165">
        <f>E38*6</f>
        <v>31907539.98</v>
      </c>
      <c r="F39" s="165"/>
      <c r="G39" s="165"/>
      <c r="H39" s="70"/>
      <c r="I39" s="27"/>
      <c r="J39" s="70"/>
      <c r="K39" s="70"/>
      <c r="L39" s="70"/>
      <c r="M39" s="70"/>
      <c r="N39" s="70"/>
      <c r="O39" s="15"/>
      <c r="P39" s="166"/>
      <c r="Q39" s="167"/>
      <c r="R39" s="167"/>
      <c r="S39" s="167"/>
      <c r="T39" s="167"/>
      <c r="U39" s="167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27"/>
      <c r="AI39" s="27"/>
      <c r="AJ39" s="27"/>
      <c r="AK39" s="27"/>
      <c r="AL39" s="81"/>
      <c r="AM39" s="27"/>
      <c r="AN39" s="168" t="s">
        <v>9</v>
      </c>
      <c r="AO39" s="169">
        <f>+AM22+AM37</f>
        <v>63815080</v>
      </c>
      <c r="AP39" s="27"/>
      <c r="AQ39" s="169">
        <f>SUM(AO10:AO36)</f>
        <v>5317923.33</v>
      </c>
      <c r="AR39" s="169"/>
      <c r="AS39" s="117">
        <f>+AQ22+AQ37</f>
        <v>0</v>
      </c>
      <c r="AT39" s="169">
        <f>SUM(AR10:AR36)</f>
        <v>0</v>
      </c>
      <c r="AU39" s="169">
        <f>+AS39-AO39</f>
        <v>-63815080</v>
      </c>
      <c r="AV39" s="243"/>
      <c r="AW39" s="243"/>
      <c r="AX39" s="243">
        <f>SUM(AV10:AV36)</f>
        <v>37225463.310000002</v>
      </c>
      <c r="AY39" s="27"/>
      <c r="AZ39" s="254">
        <f>SUM(AX10:AX36)</f>
        <v>-7445092.6600000011</v>
      </c>
    </row>
    <row r="40" spans="1:52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H40" s="27"/>
      <c r="AI40" s="27"/>
      <c r="AJ40" s="27"/>
      <c r="AK40" s="27"/>
      <c r="AL40" s="81"/>
      <c r="AM40" s="27"/>
      <c r="AN40" s="27"/>
      <c r="AO40" s="27"/>
      <c r="AP40" s="27"/>
      <c r="AQ40" s="27"/>
      <c r="AR40" s="27"/>
      <c r="AS40" s="27"/>
      <c r="AT40" s="27"/>
      <c r="AU40" s="169"/>
      <c r="AV40" s="242"/>
      <c r="AW40" s="242"/>
      <c r="AX40" s="242"/>
      <c r="AY40" s="27"/>
      <c r="AZ40" s="27"/>
    </row>
    <row r="41" spans="1:52" x14ac:dyDescent="0.25">
      <c r="A41" s="1"/>
      <c r="B41" s="27"/>
      <c r="C41" s="258"/>
      <c r="D41" s="27"/>
      <c r="E41" s="267"/>
      <c r="F41" s="27"/>
      <c r="G41" s="267"/>
      <c r="H41" s="13"/>
      <c r="I41" s="13"/>
      <c r="J41" s="1"/>
      <c r="K41" s="1"/>
      <c r="L41" s="390" t="s">
        <v>326</v>
      </c>
      <c r="M41" s="391"/>
      <c r="N41" s="391"/>
      <c r="O41" s="391"/>
      <c r="P41" s="391"/>
      <c r="Q41" s="391"/>
      <c r="R41" s="391"/>
      <c r="S41" s="391"/>
      <c r="T41" s="391"/>
      <c r="U41" s="392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169"/>
      <c r="AT41" s="27"/>
      <c r="AU41" s="27"/>
      <c r="AV41" s="242"/>
      <c r="AW41" s="242"/>
      <c r="AX41" s="242"/>
      <c r="AY41" s="27"/>
      <c r="AZ41" s="169"/>
    </row>
    <row r="42" spans="1:52" ht="15" customHeight="1" x14ac:dyDescent="0.25">
      <c r="A42" s="13"/>
      <c r="B42" s="27"/>
      <c r="C42" s="384" t="s">
        <v>737</v>
      </c>
      <c r="D42" s="384"/>
      <c r="E42" s="384"/>
      <c r="F42" s="384"/>
      <c r="G42" s="384"/>
      <c r="H42" s="384"/>
      <c r="I42" s="13"/>
      <c r="J42" s="1"/>
      <c r="K42" s="1"/>
      <c r="L42" s="407" t="s">
        <v>327</v>
      </c>
      <c r="M42" s="408"/>
      <c r="N42" s="408"/>
      <c r="O42" s="409"/>
      <c r="P42" s="199" t="s">
        <v>10</v>
      </c>
      <c r="Q42" s="200" t="s">
        <v>11</v>
      </c>
      <c r="R42" s="201" t="s">
        <v>12</v>
      </c>
      <c r="S42" s="200" t="s">
        <v>13</v>
      </c>
      <c r="T42" s="201" t="s">
        <v>14</v>
      </c>
      <c r="U42" s="201" t="s">
        <v>20</v>
      </c>
      <c r="W42" s="330"/>
      <c r="X42" s="18"/>
      <c r="Y42" s="1"/>
      <c r="Z42" s="1"/>
      <c r="AA42" s="1"/>
      <c r="AB42" s="1"/>
      <c r="AC42" s="1"/>
      <c r="AD42" s="1"/>
      <c r="AE42" s="1"/>
      <c r="AF42" s="1"/>
      <c r="AG42" s="1"/>
      <c r="AH42" s="27"/>
      <c r="AI42" s="27"/>
      <c r="AJ42" s="27"/>
      <c r="AK42" s="27"/>
      <c r="AL42" s="70"/>
      <c r="AM42" s="27"/>
      <c r="AN42" s="27"/>
      <c r="AO42" s="27"/>
      <c r="AP42" s="27"/>
      <c r="AQ42" s="27"/>
      <c r="AR42" s="27"/>
      <c r="AS42" s="27"/>
      <c r="AT42" s="27"/>
      <c r="AU42" s="27"/>
      <c r="AV42" s="242"/>
      <c r="AW42" s="242"/>
      <c r="AX42" s="242"/>
      <c r="AY42" s="27"/>
      <c r="AZ42" s="27"/>
    </row>
    <row r="43" spans="1:52" x14ac:dyDescent="0.25">
      <c r="A43" s="27"/>
      <c r="B43" s="27"/>
      <c r="C43" s="384"/>
      <c r="D43" s="384"/>
      <c r="E43" s="384"/>
      <c r="F43" s="384"/>
      <c r="G43" s="384"/>
      <c r="H43" s="384"/>
      <c r="I43" s="27"/>
      <c r="J43" s="27"/>
      <c r="K43" s="27"/>
      <c r="L43" s="404" t="s">
        <v>5</v>
      </c>
      <c r="M43" s="405"/>
      <c r="N43" s="405"/>
      <c r="O43" s="406"/>
      <c r="P43" s="170">
        <f>+(G22-K22)/T5</f>
        <v>0.52986898373699864</v>
      </c>
      <c r="Q43" s="171">
        <f>+(G22-K22)/T5</f>
        <v>0.52986898373699864</v>
      </c>
      <c r="R43" s="172">
        <f>+(G22-K22)/T5</f>
        <v>0.52986898373699864</v>
      </c>
      <c r="S43" s="171">
        <f>+(G22-K22)/T5</f>
        <v>0.52986898373699864</v>
      </c>
      <c r="T43" s="172">
        <f>+(G22-K22)/T5</f>
        <v>0.52986898373699864</v>
      </c>
      <c r="U43" s="171">
        <f>+(G22-K22)/T5</f>
        <v>0.52986898373699864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70"/>
      <c r="AM43" s="27"/>
      <c r="AN43" s="173"/>
      <c r="AO43" s="81"/>
      <c r="AP43" s="27"/>
      <c r="AQ43" s="430"/>
      <c r="AR43" s="431"/>
      <c r="AS43" s="431"/>
      <c r="AT43" s="431"/>
      <c r="AU43" s="169"/>
      <c r="AV43" s="242"/>
      <c r="AW43" s="242"/>
      <c r="AX43" s="242"/>
      <c r="AY43" s="27"/>
      <c r="AZ43" s="27"/>
    </row>
    <row r="44" spans="1:52" x14ac:dyDescent="0.25">
      <c r="A44" s="13"/>
      <c r="B44" s="27"/>
      <c r="C44" s="324"/>
      <c r="D44" s="27"/>
      <c r="E44" s="27"/>
      <c r="F44" s="27"/>
      <c r="G44" s="27"/>
      <c r="H44" s="27"/>
      <c r="I44" s="27"/>
      <c r="J44" s="27"/>
      <c r="K44" s="27"/>
      <c r="L44" s="401" t="s">
        <v>309</v>
      </c>
      <c r="M44" s="402"/>
      <c r="N44" s="402"/>
      <c r="O44" s="403"/>
      <c r="P44" s="174">
        <f t="shared" ref="P44:U44" si="17">+N37/N5</f>
        <v>0.20366444922586716</v>
      </c>
      <c r="Q44" s="174">
        <f t="shared" si="17"/>
        <v>0.8829393183259806</v>
      </c>
      <c r="R44" s="174">
        <f t="shared" si="17"/>
        <v>0</v>
      </c>
      <c r="S44" s="174">
        <f t="shared" si="17"/>
        <v>0.28056260210457684</v>
      </c>
      <c r="T44" s="174">
        <f t="shared" si="17"/>
        <v>1.171470032810759</v>
      </c>
      <c r="U44" s="175">
        <f t="shared" si="17"/>
        <v>0.29399912203367656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70"/>
      <c r="AM44" s="27"/>
      <c r="AN44" s="173"/>
      <c r="AO44" s="173"/>
      <c r="AP44" s="27"/>
      <c r="AQ44" s="431"/>
      <c r="AR44" s="431"/>
      <c r="AS44" s="431"/>
      <c r="AT44" s="431"/>
      <c r="AU44" s="27"/>
      <c r="AV44" s="242"/>
      <c r="AW44" s="242"/>
      <c r="AX44" s="242"/>
      <c r="AY44" s="27"/>
      <c r="AZ44" s="27"/>
    </row>
    <row r="45" spans="1:52" ht="15.75" x14ac:dyDescent="0.25">
      <c r="A45" s="13"/>
      <c r="B45" s="27"/>
      <c r="C45" s="324"/>
      <c r="D45" s="208"/>
      <c r="E45" s="208"/>
      <c r="F45" s="208"/>
      <c r="G45" s="208"/>
      <c r="H45" s="208"/>
      <c r="I45" s="27"/>
      <c r="J45" s="267"/>
      <c r="K45" s="267"/>
      <c r="L45" s="393" t="s">
        <v>328</v>
      </c>
      <c r="M45" s="394"/>
      <c r="N45" s="394"/>
      <c r="O45" s="395"/>
      <c r="P45" s="176">
        <f t="shared" ref="P45:U45" si="18">+P43+P44</f>
        <v>0.73353343296286577</v>
      </c>
      <c r="Q45" s="177">
        <f t="shared" si="18"/>
        <v>1.4128083020629791</v>
      </c>
      <c r="R45" s="178">
        <f t="shared" si="18"/>
        <v>0.52986898373699864</v>
      </c>
      <c r="S45" s="177">
        <f t="shared" si="18"/>
        <v>0.81043158584157549</v>
      </c>
      <c r="T45" s="178">
        <f t="shared" si="18"/>
        <v>1.7013390165477578</v>
      </c>
      <c r="U45" s="177">
        <f t="shared" si="18"/>
        <v>0.82386810577067515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70"/>
      <c r="AM45" s="27"/>
      <c r="AN45" s="173"/>
      <c r="AO45" s="173"/>
      <c r="AP45" s="27"/>
      <c r="AQ45" s="27"/>
      <c r="AR45" s="27"/>
      <c r="AS45" s="27"/>
      <c r="AT45" s="27"/>
      <c r="AU45" s="27"/>
      <c r="AV45" s="242"/>
      <c r="AW45" s="242"/>
      <c r="AX45" s="242"/>
      <c r="AY45" s="27"/>
      <c r="AZ45" s="27"/>
    </row>
    <row r="46" spans="1:52" ht="16.5" x14ac:dyDescent="0.3">
      <c r="A46" s="13"/>
      <c r="B46" s="27"/>
      <c r="C46" s="347" t="s">
        <v>736</v>
      </c>
      <c r="D46" s="348"/>
      <c r="E46" s="348"/>
      <c r="F46" s="348"/>
      <c r="G46" s="348"/>
      <c r="H46" s="348"/>
      <c r="I46" s="27"/>
      <c r="J46" s="267"/>
      <c r="K46" s="267"/>
      <c r="L46" s="13"/>
      <c r="M46" s="13"/>
      <c r="N46" s="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173"/>
      <c r="AO46" s="173"/>
      <c r="AP46" s="27"/>
      <c r="AQ46" s="27"/>
      <c r="AR46" s="27"/>
      <c r="AS46" s="27">
        <f>1/25</f>
        <v>0.04</v>
      </c>
      <c r="AT46" s="27"/>
      <c r="AU46" s="27"/>
      <c r="AV46" s="242"/>
      <c r="AW46" s="242"/>
      <c r="AX46" s="242"/>
      <c r="AY46" s="27"/>
      <c r="AZ46" s="27"/>
    </row>
    <row r="47" spans="1:52" ht="43.5" customHeight="1" x14ac:dyDescent="0.3">
      <c r="A47" s="27"/>
      <c r="B47" s="27"/>
      <c r="C47" s="346" t="s">
        <v>452</v>
      </c>
      <c r="D47" s="346" t="s">
        <v>763</v>
      </c>
      <c r="E47" s="346" t="s">
        <v>764</v>
      </c>
      <c r="F47" s="362" t="s">
        <v>453</v>
      </c>
      <c r="G47" s="346" t="s">
        <v>762</v>
      </c>
      <c r="H47" s="349"/>
      <c r="J47" s="267"/>
      <c r="K47" s="267"/>
      <c r="L47" s="13"/>
      <c r="M47" s="267"/>
      <c r="N47" s="13"/>
      <c r="O47" s="27"/>
      <c r="P47" s="15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7"/>
      <c r="AI47" s="27"/>
      <c r="AJ47" s="27"/>
      <c r="AK47" s="27"/>
      <c r="AL47" s="27"/>
      <c r="AM47" s="27"/>
      <c r="AN47" s="173"/>
      <c r="AO47" s="173"/>
      <c r="AP47" s="27"/>
      <c r="AQ47" s="27"/>
      <c r="AR47" s="27"/>
      <c r="AS47" s="27"/>
      <c r="AT47" s="27"/>
      <c r="AU47" s="27"/>
      <c r="AV47" s="242"/>
      <c r="AW47" s="242"/>
      <c r="AX47" s="242"/>
      <c r="AY47" s="27"/>
      <c r="AZ47" s="27"/>
    </row>
    <row r="48" spans="1:52" ht="16.5" x14ac:dyDescent="0.3">
      <c r="A48" s="27"/>
      <c r="B48" s="27"/>
      <c r="C48" s="350" t="s">
        <v>333</v>
      </c>
      <c r="D48" s="351">
        <v>0</v>
      </c>
      <c r="E48" s="352">
        <f>+D48/6</f>
        <v>0</v>
      </c>
      <c r="F48" s="352">
        <f>ROUND(IF(E48&gt;0,0,((N5*$E$54)/(IF($E$48&gt;0,0,$N$5)+(IF($E$49&gt;0,0,$O$5))+(IF($E$50&gt;0,0,$P$5))+(IF($E$51&gt;0,0,$Q$5))+(IF($E$52&gt;0,0,$R$5))+(IF($E$53&gt;0,0,$S$5))))),2)</f>
        <v>0</v>
      </c>
      <c r="G48" s="353">
        <f>(IF($E$48&gt;0,0,$N$5)+(IF($E$49&gt;0,0,$O$5))+(IF($E$50&gt;0,0,$P$5))+(IF($E$51&gt;0,0,$Q$5))+(IF($E$52&gt;0,0,$R$5))+(IF($E$53&gt;0,0,$S$5)))</f>
        <v>3876380.8847877262</v>
      </c>
      <c r="H48" s="354">
        <f>ROUND($K$23*N5/$T$5,2)</f>
        <v>315264.87</v>
      </c>
      <c r="I48" s="338"/>
      <c r="J48" s="267"/>
      <c r="K48" s="267"/>
      <c r="L48" s="250"/>
      <c r="M48" s="250"/>
      <c r="N48" s="250"/>
      <c r="O48" s="304"/>
      <c r="P48" s="332"/>
      <c r="Q48" s="332"/>
      <c r="R48" s="332"/>
      <c r="S48" s="332"/>
      <c r="T48" s="332"/>
      <c r="U48" s="332"/>
      <c r="V48" s="236"/>
      <c r="W48" s="250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7"/>
      <c r="AI48" s="27"/>
      <c r="AJ48" s="27"/>
      <c r="AK48" s="27"/>
      <c r="AL48" s="27"/>
      <c r="AM48" s="27"/>
      <c r="AN48" s="173"/>
      <c r="AO48" s="173"/>
      <c r="AP48" s="27"/>
      <c r="AQ48" s="27"/>
      <c r="AR48" s="27"/>
      <c r="AS48" s="27"/>
      <c r="AT48" s="27"/>
      <c r="AU48" s="27"/>
      <c r="AV48" s="242"/>
      <c r="AW48" s="242"/>
      <c r="AX48" s="242"/>
      <c r="AY48" s="27"/>
      <c r="AZ48" s="27"/>
    </row>
    <row r="49" spans="1:52" ht="16.5" x14ac:dyDescent="0.3">
      <c r="A49" s="27"/>
      <c r="B49" s="27"/>
      <c r="C49" s="350" t="s">
        <v>334</v>
      </c>
      <c r="D49" s="351">
        <v>0</v>
      </c>
      <c r="E49" s="352">
        <f>ROUND(+D49/6,2)</f>
        <v>0</v>
      </c>
      <c r="F49" s="352">
        <f>ROUND(IF(E49&gt;0,0,((O5*$E$54)/(IF($E$48&gt;0,0,$N$5)+(IF($E$49&gt;0,0,$O$5))+(IF($E$50&gt;0,0,$P$5))+(IF($E$51&gt;0,0,$Q$5))+(IF($E$52&gt;0,0,$R$5))+(IF($E$53&gt;0,0,$S$5))))),2)</f>
        <v>0</v>
      </c>
      <c r="G49" s="355"/>
      <c r="H49" s="354">
        <f>ROUND($K$23*O5/$T$5,2)</f>
        <v>170917.19</v>
      </c>
      <c r="I49" s="338"/>
      <c r="J49" s="267"/>
      <c r="K49" s="267"/>
      <c r="L49" s="249"/>
      <c r="M49" s="249"/>
      <c r="N49" s="250"/>
      <c r="O49" s="304"/>
      <c r="P49" s="331"/>
      <c r="Q49" s="331"/>
      <c r="R49" s="331"/>
      <c r="S49" s="331"/>
      <c r="T49" s="331"/>
      <c r="U49" s="331"/>
      <c r="V49" s="331">
        <f>+V45*(S22+S37)</f>
        <v>0</v>
      </c>
      <c r="W49" s="250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7"/>
      <c r="AI49" s="27"/>
      <c r="AJ49" s="27"/>
      <c r="AK49" s="27"/>
      <c r="AL49" s="27"/>
      <c r="AM49" s="27"/>
      <c r="AN49" s="173"/>
      <c r="AO49" s="173"/>
      <c r="AP49" s="27"/>
      <c r="AQ49" s="27"/>
      <c r="AR49" s="27"/>
      <c r="AS49" s="27"/>
      <c r="AT49" s="27"/>
      <c r="AU49" s="27"/>
      <c r="AV49" s="242"/>
      <c r="AW49" s="242"/>
      <c r="AX49" s="242"/>
      <c r="AY49" s="27"/>
      <c r="AZ49" s="27"/>
    </row>
    <row r="50" spans="1:52" ht="16.5" x14ac:dyDescent="0.3">
      <c r="A50" s="27"/>
      <c r="B50" s="27"/>
      <c r="C50" s="350" t="s">
        <v>335</v>
      </c>
      <c r="D50" s="351">
        <v>0</v>
      </c>
      <c r="E50" s="352">
        <f t="shared" ref="E50:E53" si="19">+D50/6</f>
        <v>0</v>
      </c>
      <c r="F50" s="352">
        <f>ROUND(IF(E50&gt;0,0,((P5*$E$54)/(IF($E$48&gt;0,0,$N$5)+(IF($E$49&gt;0,0,$O$5))+(IF($E$50&gt;0,0,$P$5))+(IF($E$51&gt;0,0,$Q$5))+(IF($E$52&gt;0,0,$R$5))+(IF($E$53&gt;0,0,$S$5))))),2)</f>
        <v>0</v>
      </c>
      <c r="G50" s="355"/>
      <c r="H50" s="354">
        <f>ROUND($K$23*P5/$T$5,2)+0.01</f>
        <v>287236.75</v>
      </c>
      <c r="I50" s="338"/>
      <c r="J50" s="267"/>
      <c r="K50" s="267"/>
      <c r="L50" s="326"/>
      <c r="M50" s="326"/>
      <c r="N50" s="250"/>
      <c r="O50" s="304"/>
      <c r="P50" s="327"/>
      <c r="Q50" s="327"/>
      <c r="R50" s="328"/>
      <c r="S50" s="326"/>
      <c r="T50" s="326"/>
      <c r="U50" s="326"/>
      <c r="V50" s="236"/>
      <c r="W50" s="250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7"/>
      <c r="AI50" s="27"/>
      <c r="AJ50" s="27"/>
      <c r="AK50" s="27"/>
      <c r="AL50" s="27"/>
      <c r="AM50" s="27"/>
      <c r="AN50" s="173"/>
      <c r="AO50" s="173"/>
      <c r="AP50" s="27"/>
      <c r="AQ50" s="27"/>
      <c r="AR50" s="27"/>
      <c r="AS50" s="27"/>
      <c r="AT50" s="27"/>
      <c r="AU50" s="27"/>
      <c r="AV50" s="242"/>
      <c r="AW50" s="242"/>
      <c r="AX50" s="242"/>
      <c r="AY50" s="27"/>
      <c r="AZ50" s="27"/>
    </row>
    <row r="51" spans="1:52" ht="16.5" x14ac:dyDescent="0.3">
      <c r="A51" s="27"/>
      <c r="B51" s="27"/>
      <c r="C51" s="356" t="s">
        <v>336</v>
      </c>
      <c r="D51" s="351">
        <v>0</v>
      </c>
      <c r="E51" s="352">
        <f t="shared" si="19"/>
        <v>0</v>
      </c>
      <c r="F51" s="352">
        <f>ROUND(IF(E51&gt;0,0,((Q5*$E$54)/(IF($E$48&gt;0,0,$N$5)+(IF($E$49&gt;0,0,$O$5))+(IF($E$50&gt;0,0,$P$5))+(IF($E$51&gt;0,0,$Q$5))+(IF($E$52&gt;0,0,$R$5))+(IF($E$53&gt;0,0,$S$5))))),2)</f>
        <v>0</v>
      </c>
      <c r="G51" s="357"/>
      <c r="H51" s="354">
        <f>ROUND($K$23*Q5/$T$5,2)</f>
        <v>138745.29999999999</v>
      </c>
      <c r="I51" s="338"/>
      <c r="K51" s="27"/>
      <c r="L51" s="329"/>
      <c r="M51" s="329"/>
      <c r="N51" s="250"/>
      <c r="O51" s="304"/>
      <c r="P51" s="327"/>
      <c r="Q51" s="327"/>
      <c r="R51" s="328"/>
      <c r="S51" s="251"/>
      <c r="T51" s="251"/>
      <c r="U51" s="251"/>
      <c r="V51" s="236"/>
      <c r="W51" s="236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173"/>
      <c r="AO51" s="173"/>
      <c r="AP51" s="27"/>
      <c r="AQ51" s="27"/>
      <c r="AR51" s="27"/>
      <c r="AS51" s="27"/>
      <c r="AT51" s="27"/>
      <c r="AU51" s="27"/>
      <c r="AV51" s="242"/>
      <c r="AW51" s="242"/>
      <c r="AX51" s="242"/>
      <c r="AY51" s="27"/>
      <c r="AZ51" s="27"/>
    </row>
    <row r="52" spans="1:52" ht="16.5" x14ac:dyDescent="0.3">
      <c r="A52" s="27"/>
      <c r="B52" s="27"/>
      <c r="C52" s="356" t="s">
        <v>337</v>
      </c>
      <c r="D52" s="351">
        <v>0</v>
      </c>
      <c r="E52" s="352">
        <f t="shared" si="19"/>
        <v>0</v>
      </c>
      <c r="F52" s="352">
        <f>ROUND(IF(E52&gt;0,0,((R5*$E$54)/(IF($E$48&gt;0,0,$N$5)+(IF($E$49&gt;0,0,$O$5))+(IF($E$50&gt;0,0,$P$5))+(IF($E$51&gt;0,0,$Q$5))+(IF($E$52&gt;0,0,$R$5))+(IF($E$53&gt;0,0,$S$5))))),2)</f>
        <v>0</v>
      </c>
      <c r="G52" s="357"/>
      <c r="H52" s="354">
        <f>ROUND($K$23*R5/$T$5,2)</f>
        <v>302310.89</v>
      </c>
      <c r="I52" s="338"/>
      <c r="K52" s="27"/>
      <c r="L52" s="326"/>
      <c r="M52" s="326"/>
      <c r="N52" s="250"/>
      <c r="O52" s="304"/>
      <c r="P52" s="327"/>
      <c r="Q52" s="327"/>
      <c r="R52" s="328"/>
      <c r="S52" s="252"/>
      <c r="T52" s="252"/>
      <c r="U52" s="252"/>
      <c r="V52" s="236"/>
      <c r="W52" s="236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173"/>
      <c r="AO52" s="173"/>
      <c r="AP52" s="27"/>
      <c r="AQ52" s="27"/>
      <c r="AR52" s="27"/>
      <c r="AS52" s="27"/>
      <c r="AT52" s="27"/>
      <c r="AU52" s="27"/>
      <c r="AV52" s="242"/>
      <c r="AW52" s="242"/>
      <c r="AX52" s="242"/>
      <c r="AY52" s="27"/>
      <c r="AZ52" s="27"/>
    </row>
    <row r="53" spans="1:52" ht="16.5" x14ac:dyDescent="0.3">
      <c r="A53" s="27"/>
      <c r="B53" s="27"/>
      <c r="C53" s="356" t="s">
        <v>338</v>
      </c>
      <c r="D53" s="351">
        <v>0</v>
      </c>
      <c r="E53" s="352">
        <f t="shared" si="19"/>
        <v>0</v>
      </c>
      <c r="F53" s="352">
        <f>ROUND(IF(E53&gt;0,0,((S5*$E$54)/(IF($E$48&gt;0,0,$N$5)+(IF($E$49&gt;0,0,$O$5))+(IF($E$50&gt;0,0,$P$5))+(IF($E$51&gt;0,0,$Q$5))+(IF($E$52&gt;0,0,$R$5))+(IF($E$53&gt;0,0,$S$5))))),2)</f>
        <v>0</v>
      </c>
      <c r="G53" s="357"/>
      <c r="H53" s="354">
        <f>ROUND($K$23*S5/$T$5,2)</f>
        <v>285375.40999999997</v>
      </c>
      <c r="I53" s="338"/>
      <c r="K53" s="27"/>
      <c r="L53" s="326"/>
      <c r="M53" s="326"/>
      <c r="N53" s="250"/>
      <c r="O53" s="304"/>
      <c r="P53" s="327"/>
      <c r="Q53" s="327"/>
      <c r="R53" s="328"/>
      <c r="S53" s="252"/>
      <c r="T53" s="252"/>
      <c r="U53" s="252"/>
      <c r="V53" s="236"/>
      <c r="W53" s="236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173"/>
      <c r="AO53" s="173"/>
      <c r="AP53" s="27"/>
      <c r="AQ53" s="27"/>
      <c r="AR53" s="27"/>
      <c r="AS53" s="27"/>
      <c r="AT53" s="27"/>
      <c r="AU53" s="27"/>
      <c r="AV53" s="242"/>
      <c r="AW53" s="242"/>
      <c r="AX53" s="242"/>
      <c r="AY53" s="27"/>
      <c r="AZ53" s="27"/>
    </row>
    <row r="54" spans="1:52" ht="16.5" x14ac:dyDescent="0.3">
      <c r="A54" s="27"/>
      <c r="B54" s="27"/>
      <c r="C54" s="358" t="s">
        <v>305</v>
      </c>
      <c r="D54" s="359">
        <f>SUM(D48:D53)</f>
        <v>0</v>
      </c>
      <c r="E54" s="360">
        <f>SUM(E48:E53)</f>
        <v>0</v>
      </c>
      <c r="F54" s="360">
        <f>SUM(F48:F53)</f>
        <v>0</v>
      </c>
      <c r="G54" s="360"/>
      <c r="H54" s="357">
        <f>SUM(H48:H53)</f>
        <v>1499850.41</v>
      </c>
      <c r="I54" s="179"/>
      <c r="J54" s="35"/>
      <c r="K54" s="35"/>
      <c r="L54" s="429"/>
      <c r="M54" s="429"/>
      <c r="N54" s="429"/>
      <c r="O54" s="429"/>
      <c r="P54" s="253"/>
      <c r="Q54" s="253"/>
      <c r="R54" s="253"/>
      <c r="S54" s="253"/>
      <c r="T54" s="253"/>
      <c r="U54" s="253"/>
      <c r="V54" s="236"/>
      <c r="W54" s="236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73"/>
      <c r="AO54" s="173"/>
      <c r="AP54" s="27"/>
      <c r="AQ54" s="27"/>
      <c r="AR54" s="27"/>
      <c r="AS54" s="27"/>
      <c r="AT54" s="27"/>
      <c r="AU54" s="27"/>
      <c r="AV54" s="242"/>
      <c r="AW54" s="242"/>
      <c r="AX54" s="242"/>
      <c r="AY54" s="27"/>
      <c r="AZ54" s="27"/>
    </row>
    <row r="55" spans="1:52" ht="16.5" x14ac:dyDescent="0.3">
      <c r="A55" s="27"/>
      <c r="B55" s="27"/>
      <c r="C55" s="361"/>
      <c r="D55" s="361"/>
      <c r="E55" s="361"/>
      <c r="F55" s="361"/>
      <c r="G55" s="361"/>
      <c r="H55" s="361"/>
      <c r="I55" s="35"/>
      <c r="J55" s="35"/>
      <c r="K55" s="35"/>
      <c r="L55" s="249"/>
      <c r="M55" s="249"/>
      <c r="N55" s="249"/>
      <c r="O55" s="236"/>
      <c r="P55" s="236"/>
      <c r="Q55" s="236"/>
      <c r="R55" s="236"/>
      <c r="S55" s="236"/>
      <c r="T55" s="236"/>
      <c r="U55" s="236"/>
      <c r="V55" s="236"/>
      <c r="W55" s="236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3"/>
      <c r="AO55" s="173"/>
      <c r="AP55" s="27"/>
      <c r="AQ55" s="27"/>
      <c r="AR55" s="27"/>
      <c r="AS55" s="27"/>
      <c r="AT55" s="27"/>
      <c r="AU55" s="27"/>
      <c r="AV55" s="242"/>
      <c r="AW55" s="242"/>
      <c r="AX55" s="242"/>
      <c r="AY55" s="27"/>
      <c r="AZ55" s="27"/>
    </row>
    <row r="56" spans="1:52" x14ac:dyDescent="0.25">
      <c r="A56" s="27"/>
      <c r="B56" s="27"/>
      <c r="C56" s="35"/>
      <c r="D56" s="35"/>
      <c r="E56" s="35"/>
      <c r="F56" s="35"/>
      <c r="G56" s="35"/>
      <c r="H56" s="35"/>
      <c r="I56" s="35"/>
      <c r="J56" s="35"/>
      <c r="K56" s="35"/>
      <c r="L56" s="13"/>
      <c r="M56" s="13"/>
      <c r="N56" s="13"/>
      <c r="O56" s="180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173"/>
      <c r="AO56" s="173"/>
      <c r="AP56" s="27"/>
      <c r="AQ56" s="27"/>
      <c r="AR56" s="27"/>
      <c r="AS56" s="27"/>
      <c r="AT56" s="27"/>
      <c r="AU56" s="27"/>
      <c r="AV56" s="242"/>
      <c r="AW56" s="242"/>
      <c r="AX56" s="242"/>
      <c r="AY56" s="27"/>
      <c r="AZ56" s="27"/>
    </row>
    <row r="57" spans="1:52" x14ac:dyDescent="0.25">
      <c r="A57" s="27"/>
      <c r="B57" s="27"/>
      <c r="C57" s="35"/>
      <c r="D57" s="35"/>
      <c r="E57" s="311"/>
      <c r="F57" s="311"/>
      <c r="G57" s="311"/>
      <c r="H57" s="35"/>
      <c r="I57" s="310"/>
      <c r="J57" s="35"/>
      <c r="K57" s="35"/>
      <c r="L57" s="1"/>
      <c r="M57" s="1"/>
      <c r="N57" s="1"/>
      <c r="O57" s="180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173"/>
      <c r="AO57" s="173"/>
      <c r="AP57" s="27"/>
      <c r="AQ57" s="27"/>
      <c r="AR57" s="27"/>
      <c r="AS57" s="27"/>
      <c r="AT57" s="27"/>
      <c r="AU57" s="27"/>
      <c r="AV57" s="242"/>
      <c r="AW57" s="242"/>
      <c r="AX57" s="242"/>
      <c r="AY57" s="27"/>
      <c r="AZ57" s="27"/>
    </row>
    <row r="58" spans="1:52" x14ac:dyDescent="0.25">
      <c r="A58" s="27"/>
      <c r="B58" s="27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173"/>
      <c r="AO58" s="173"/>
      <c r="AP58" s="27"/>
      <c r="AQ58" s="27"/>
      <c r="AR58" s="27"/>
      <c r="AS58" s="27"/>
      <c r="AT58" s="27"/>
      <c r="AU58" s="27"/>
      <c r="AV58" s="242"/>
      <c r="AW58" s="242"/>
      <c r="AX58" s="242"/>
      <c r="AY58" s="27"/>
      <c r="AZ58" s="27"/>
    </row>
    <row r="59" spans="1:52" x14ac:dyDescent="0.25">
      <c r="A59" s="27"/>
      <c r="B59" s="27"/>
      <c r="C59" s="35"/>
      <c r="D59" s="35"/>
      <c r="E59" s="35"/>
      <c r="F59" s="35"/>
      <c r="G59" s="35"/>
      <c r="H59" s="35"/>
      <c r="I59" s="35"/>
      <c r="J59" s="35"/>
      <c r="K59" s="35"/>
      <c r="L59" s="1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173"/>
      <c r="AO59" s="173"/>
      <c r="AP59" s="27"/>
      <c r="AQ59" s="27"/>
      <c r="AR59" s="27"/>
      <c r="AS59" s="27"/>
      <c r="AT59" s="27"/>
      <c r="AU59" s="27"/>
      <c r="AV59" s="242"/>
      <c r="AW59" s="242"/>
      <c r="AX59" s="242"/>
      <c r="AY59" s="27"/>
      <c r="AZ59" s="27"/>
    </row>
    <row r="60" spans="1:52" x14ac:dyDescent="0.25">
      <c r="A60" s="27"/>
      <c r="B60" s="287" t="s">
        <v>522</v>
      </c>
      <c r="C60" s="288" t="s">
        <v>523</v>
      </c>
      <c r="D60" s="35"/>
      <c r="E60" s="35"/>
      <c r="F60" s="35"/>
      <c r="G60" s="35"/>
      <c r="H60" s="35"/>
      <c r="I60" s="35"/>
      <c r="J60" s="35"/>
      <c r="K60" s="35"/>
      <c r="L60" s="1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173"/>
      <c r="AO60" s="173"/>
      <c r="AP60" s="27"/>
      <c r="AQ60" s="27"/>
      <c r="AR60" s="27"/>
      <c r="AS60" s="27"/>
      <c r="AT60" s="27"/>
      <c r="AU60" s="27"/>
      <c r="AV60" s="242"/>
      <c r="AW60" s="242"/>
      <c r="AX60" s="242"/>
      <c r="AY60" s="27"/>
      <c r="AZ60" s="27"/>
    </row>
    <row r="61" spans="1:52" x14ac:dyDescent="0.25">
      <c r="A61" s="27"/>
      <c r="B61" s="287" t="s">
        <v>524</v>
      </c>
      <c r="C61" s="35" t="s">
        <v>761</v>
      </c>
      <c r="D61" s="35"/>
      <c r="E61" s="35"/>
      <c r="F61" s="35"/>
      <c r="G61" s="35"/>
      <c r="H61" s="35"/>
      <c r="I61" s="35"/>
      <c r="J61" s="35"/>
      <c r="K61" s="35"/>
      <c r="L61" s="1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173"/>
      <c r="AO61" s="173"/>
      <c r="AP61" s="27"/>
      <c r="AQ61" s="27"/>
      <c r="AR61" s="27"/>
      <c r="AS61" s="27"/>
      <c r="AT61" s="27"/>
      <c r="AU61" s="27"/>
      <c r="AV61" s="242"/>
      <c r="AW61" s="242"/>
      <c r="AX61" s="242"/>
      <c r="AY61" s="27"/>
      <c r="AZ61" s="27"/>
    </row>
    <row r="62" spans="1:52" x14ac:dyDescent="0.25">
      <c r="A62" s="27"/>
      <c r="B62" s="27"/>
      <c r="C62" s="35"/>
      <c r="D62" s="35"/>
      <c r="E62" s="35"/>
      <c r="F62" s="35"/>
      <c r="G62" s="35"/>
      <c r="H62" s="35"/>
      <c r="I62" s="35"/>
      <c r="J62" s="35"/>
      <c r="K62" s="35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173"/>
      <c r="AO62" s="173"/>
      <c r="AP62" s="27"/>
      <c r="AQ62" s="27"/>
      <c r="AR62" s="27"/>
      <c r="AS62" s="27"/>
      <c r="AT62" s="27"/>
      <c r="AU62" s="27"/>
      <c r="AV62" s="242"/>
      <c r="AW62" s="242"/>
      <c r="AX62" s="242"/>
      <c r="AY62" s="27"/>
      <c r="AZ62" s="27"/>
    </row>
    <row r="63" spans="1:52" x14ac:dyDescent="0.25">
      <c r="A63" s="27"/>
      <c r="B63" s="27"/>
      <c r="C63" s="35"/>
      <c r="D63" s="35"/>
      <c r="E63" s="35"/>
      <c r="F63" s="35"/>
      <c r="G63" s="35"/>
      <c r="H63" s="35"/>
      <c r="I63" s="35"/>
      <c r="J63" s="35"/>
      <c r="K63" s="35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173"/>
      <c r="AO63" s="173"/>
      <c r="AP63" s="27"/>
      <c r="AQ63" s="27"/>
      <c r="AR63" s="27"/>
      <c r="AS63" s="27"/>
      <c r="AT63" s="27"/>
      <c r="AU63" s="27"/>
      <c r="AV63" s="242"/>
      <c r="AW63" s="242"/>
      <c r="AX63" s="242"/>
      <c r="AY63" s="27"/>
      <c r="AZ63" s="27"/>
    </row>
    <row r="64" spans="1:52" x14ac:dyDescent="0.25">
      <c r="A64" s="27"/>
      <c r="B64" s="27"/>
      <c r="C64" s="35"/>
      <c r="D64" s="35"/>
      <c r="E64" s="35"/>
      <c r="F64" s="35"/>
      <c r="G64" s="35"/>
      <c r="H64" s="35"/>
      <c r="I64" s="35"/>
      <c r="J64" s="35"/>
      <c r="K64" s="35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173"/>
      <c r="AO64" s="173"/>
      <c r="AP64" s="27"/>
      <c r="AQ64" s="27"/>
      <c r="AR64" s="27"/>
      <c r="AS64" s="27"/>
      <c r="AT64" s="27"/>
      <c r="AU64" s="27"/>
      <c r="AV64" s="242"/>
      <c r="AW64" s="242"/>
      <c r="AX64" s="242"/>
      <c r="AY64" s="27"/>
      <c r="AZ64" s="27"/>
    </row>
    <row r="65" spans="1:52" x14ac:dyDescent="0.25">
      <c r="A65" s="27"/>
      <c r="B65" s="27"/>
      <c r="C65" s="35"/>
      <c r="D65" s="35"/>
      <c r="E65" s="35"/>
      <c r="F65" s="35"/>
      <c r="G65" s="35"/>
      <c r="H65" s="35"/>
      <c r="I65" s="35"/>
      <c r="J65" s="35"/>
      <c r="K65" s="35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173"/>
      <c r="AO65" s="173"/>
      <c r="AP65" s="27"/>
      <c r="AQ65" s="27"/>
      <c r="AR65" s="27"/>
      <c r="AS65" s="27"/>
      <c r="AT65" s="27"/>
      <c r="AU65" s="27"/>
      <c r="AV65" s="242"/>
      <c r="AW65" s="242"/>
      <c r="AX65" s="242"/>
      <c r="AY65" s="27"/>
      <c r="AZ65" s="27"/>
    </row>
    <row r="66" spans="1:52" x14ac:dyDescent="0.25">
      <c r="A66" s="27"/>
      <c r="B66" s="27"/>
      <c r="C66" s="35"/>
      <c r="D66" s="35"/>
      <c r="E66" s="35"/>
      <c r="F66" s="35"/>
      <c r="G66" s="35"/>
      <c r="H66" s="35"/>
      <c r="I66" s="35"/>
      <c r="J66" s="35"/>
      <c r="K66" s="35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173"/>
      <c r="AO66" s="173"/>
      <c r="AP66" s="27"/>
      <c r="AQ66" s="27"/>
      <c r="AR66" s="27"/>
      <c r="AS66" s="27"/>
      <c r="AT66" s="27"/>
      <c r="AU66" s="27"/>
      <c r="AV66" s="242"/>
      <c r="AW66" s="242"/>
      <c r="AX66" s="242"/>
      <c r="AY66" s="27"/>
      <c r="AZ66" s="27"/>
    </row>
    <row r="67" spans="1:52" x14ac:dyDescent="0.25">
      <c r="A67" s="27"/>
      <c r="B67" s="27"/>
      <c r="C67" s="35"/>
      <c r="D67" s="35"/>
      <c r="E67" s="35"/>
      <c r="F67" s="35"/>
      <c r="G67" s="35"/>
      <c r="H67" s="35"/>
      <c r="I67" s="35"/>
      <c r="J67" s="35"/>
      <c r="K67" s="35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3"/>
      <c r="AO67" s="173"/>
      <c r="AP67" s="27"/>
      <c r="AQ67" s="27"/>
      <c r="AR67" s="27"/>
      <c r="AS67" s="27"/>
      <c r="AT67" s="27"/>
      <c r="AU67" s="27"/>
      <c r="AV67" s="242"/>
      <c r="AW67" s="242"/>
      <c r="AX67" s="242"/>
      <c r="AY67" s="27"/>
      <c r="AZ67" s="27"/>
    </row>
    <row r="68" spans="1:52" x14ac:dyDescent="0.25">
      <c r="A68" s="27"/>
      <c r="B68" s="27"/>
      <c r="C68" s="35"/>
      <c r="D68" s="35"/>
      <c r="E68" s="35"/>
      <c r="F68" s="35"/>
      <c r="G68" s="35"/>
      <c r="H68" s="35"/>
      <c r="I68" s="35"/>
      <c r="J68" s="35"/>
      <c r="K68" s="35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42"/>
      <c r="AW68" s="242"/>
      <c r="AX68" s="242"/>
      <c r="AY68" s="27"/>
      <c r="AZ68" s="27"/>
    </row>
    <row r="69" spans="1:52" x14ac:dyDescent="0.25">
      <c r="A69" s="27"/>
      <c r="B69" s="27"/>
      <c r="C69" s="35"/>
      <c r="D69" s="35"/>
      <c r="E69" s="35"/>
      <c r="F69" s="35"/>
      <c r="G69" s="35"/>
      <c r="H69" s="35"/>
      <c r="I69" s="35"/>
      <c r="J69" s="35"/>
      <c r="K69" s="35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42"/>
      <c r="AW69" s="242"/>
      <c r="AX69" s="242"/>
      <c r="AY69" s="27"/>
      <c r="AZ69" s="27"/>
    </row>
    <row r="70" spans="1:52" x14ac:dyDescent="0.25">
      <c r="A70" s="27"/>
      <c r="B70" s="27"/>
      <c r="C70" s="35"/>
      <c r="D70" s="35"/>
      <c r="E70" s="35"/>
      <c r="F70" s="35"/>
      <c r="G70" s="35"/>
      <c r="H70" s="35"/>
      <c r="I70" s="35"/>
      <c r="J70" s="35"/>
      <c r="K70" s="35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42"/>
      <c r="AW70" s="242"/>
      <c r="AX70" s="242"/>
      <c r="AY70" s="27"/>
      <c r="AZ70" s="27"/>
    </row>
    <row r="71" spans="1:52" x14ac:dyDescent="0.25">
      <c r="A71" s="27"/>
      <c r="B71" s="27"/>
      <c r="C71" s="35"/>
      <c r="D71" s="35"/>
      <c r="E71" s="35"/>
      <c r="F71" s="35"/>
      <c r="G71" s="35"/>
      <c r="H71" s="35"/>
      <c r="I71" s="35"/>
      <c r="J71" s="35"/>
      <c r="K71" s="35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42"/>
      <c r="AW71" s="242"/>
      <c r="AX71" s="242"/>
      <c r="AY71" s="27"/>
      <c r="AZ71" s="27"/>
    </row>
    <row r="72" spans="1:52" x14ac:dyDescent="0.25">
      <c r="A72" s="27"/>
      <c r="B72" s="27"/>
      <c r="C72" s="35"/>
      <c r="D72" s="35"/>
      <c r="E72" s="35"/>
      <c r="F72" s="35"/>
      <c r="G72" s="35"/>
      <c r="H72" s="35"/>
      <c r="I72" s="35"/>
      <c r="J72" s="35"/>
      <c r="K72" s="3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42"/>
      <c r="AW72" s="242"/>
      <c r="AX72" s="242"/>
      <c r="AY72" s="27"/>
      <c r="AZ72" s="27"/>
    </row>
    <row r="73" spans="1:52" x14ac:dyDescent="0.25">
      <c r="A73" s="27"/>
      <c r="B73" s="27"/>
      <c r="C73" s="35"/>
      <c r="D73" s="35"/>
      <c r="E73" s="181"/>
      <c r="F73" s="181"/>
      <c r="G73" s="181"/>
      <c r="H73" s="35"/>
      <c r="I73" s="35"/>
      <c r="J73" s="181"/>
      <c r="K73" s="35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42"/>
      <c r="AW73" s="242"/>
      <c r="AX73" s="242"/>
      <c r="AY73" s="27"/>
      <c r="AZ73" s="27"/>
    </row>
    <row r="74" spans="1:52" x14ac:dyDescent="0.25">
      <c r="A74" s="27"/>
      <c r="B74" s="27"/>
      <c r="C74" s="35"/>
      <c r="D74" s="35"/>
      <c r="E74" s="181"/>
      <c r="F74" s="181"/>
      <c r="G74" s="181"/>
      <c r="H74" s="181"/>
      <c r="I74" s="181"/>
      <c r="J74" s="181"/>
      <c r="K74" s="35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42"/>
      <c r="AW74" s="242"/>
      <c r="AX74" s="242"/>
      <c r="AY74" s="27"/>
      <c r="AZ74" s="27"/>
    </row>
    <row r="75" spans="1:52" x14ac:dyDescent="0.25">
      <c r="A75" s="27"/>
      <c r="B75" s="27"/>
      <c r="C75" s="35"/>
      <c r="D75" s="35"/>
      <c r="E75" s="35"/>
      <c r="F75" s="35"/>
      <c r="G75" s="35"/>
      <c r="H75" s="35"/>
      <c r="I75" s="35"/>
      <c r="J75" s="35"/>
      <c r="K75" s="3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42"/>
      <c r="AW75" s="242"/>
      <c r="AX75" s="242"/>
      <c r="AY75" s="27"/>
      <c r="AZ75" s="27"/>
    </row>
    <row r="76" spans="1:52" x14ac:dyDescent="0.25">
      <c r="A76" s="27"/>
      <c r="B76" s="27"/>
      <c r="C76" s="35"/>
      <c r="D76" s="35"/>
      <c r="E76" s="35"/>
      <c r="F76" s="35"/>
      <c r="G76" s="35"/>
      <c r="H76" s="35"/>
      <c r="I76" s="35"/>
      <c r="J76" s="35"/>
      <c r="K76" s="35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42"/>
      <c r="AW76" s="242"/>
      <c r="AX76" s="242"/>
      <c r="AY76" s="27"/>
      <c r="AZ76" s="27"/>
    </row>
    <row r="77" spans="1:52" x14ac:dyDescent="0.25">
      <c r="A77" s="27"/>
      <c r="B77" s="27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42"/>
      <c r="AW77" s="242"/>
      <c r="AX77" s="242"/>
      <c r="AY77" s="27"/>
      <c r="AZ77" s="27"/>
    </row>
    <row r="78" spans="1:52" x14ac:dyDescent="0.25">
      <c r="A78" s="27"/>
      <c r="B78" s="27"/>
      <c r="C78" s="35"/>
      <c r="D78" s="35"/>
      <c r="E78" s="35"/>
      <c r="F78" s="35"/>
      <c r="G78" s="35"/>
      <c r="H78" s="35"/>
      <c r="I78" s="35"/>
      <c r="J78" s="35"/>
      <c r="K78" s="182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42"/>
      <c r="AW78" s="242"/>
      <c r="AX78" s="242"/>
      <c r="AY78" s="27"/>
      <c r="AZ78" s="27"/>
    </row>
    <row r="79" spans="1:52" x14ac:dyDescent="0.25">
      <c r="A79" s="27"/>
      <c r="B79" s="27"/>
      <c r="C79" s="35"/>
      <c r="D79" s="35"/>
      <c r="E79" s="35"/>
      <c r="F79" s="35"/>
      <c r="G79" s="35"/>
      <c r="H79" s="35"/>
      <c r="I79" s="35"/>
      <c r="J79" s="35"/>
      <c r="K79" s="182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42"/>
      <c r="AW79" s="242"/>
      <c r="AX79" s="242"/>
      <c r="AY79" s="27"/>
      <c r="AZ79" s="27"/>
    </row>
    <row r="80" spans="1:52" x14ac:dyDescent="0.25">
      <c r="A80" s="27"/>
      <c r="B80" s="27"/>
      <c r="C80" s="35"/>
      <c r="D80" s="35"/>
      <c r="E80" s="35"/>
      <c r="F80" s="35"/>
      <c r="G80" s="35"/>
      <c r="H80" s="35"/>
      <c r="I80" s="35"/>
      <c r="J80" s="35"/>
      <c r="K80" s="182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42"/>
      <c r="AW80" s="242"/>
      <c r="AX80" s="242"/>
      <c r="AY80" s="27"/>
      <c r="AZ80" s="27"/>
    </row>
    <row r="81" spans="1:52" x14ac:dyDescent="0.25">
      <c r="A81" s="27"/>
      <c r="B81" s="27"/>
      <c r="C81" s="35"/>
      <c r="D81" s="35"/>
      <c r="E81" s="35"/>
      <c r="F81" s="35"/>
      <c r="G81" s="35"/>
      <c r="H81" s="35"/>
      <c r="I81" s="35"/>
      <c r="J81" s="35"/>
      <c r="K81" s="182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42"/>
      <c r="AW81" s="242"/>
      <c r="AX81" s="242"/>
      <c r="AY81" s="27"/>
      <c r="AZ81" s="27"/>
    </row>
    <row r="82" spans="1:52" x14ac:dyDescent="0.25">
      <c r="A82" s="27"/>
      <c r="B82" s="27"/>
      <c r="C82" s="35"/>
      <c r="D82" s="35"/>
      <c r="E82" s="35"/>
      <c r="F82" s="35"/>
      <c r="G82" s="35"/>
      <c r="H82" s="35"/>
      <c r="I82" s="35"/>
      <c r="J82" s="35"/>
      <c r="K82" s="182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42"/>
      <c r="AW82" s="242"/>
      <c r="AX82" s="242"/>
      <c r="AY82" s="27"/>
      <c r="AZ82" s="27"/>
    </row>
    <row r="83" spans="1:52" x14ac:dyDescent="0.25">
      <c r="A83" s="27"/>
      <c r="B83" s="27"/>
      <c r="C83" s="35"/>
      <c r="D83" s="35"/>
      <c r="E83" s="35"/>
      <c r="F83" s="35"/>
      <c r="G83" s="35"/>
      <c r="H83" s="35"/>
      <c r="I83" s="35"/>
      <c r="J83" s="35"/>
      <c r="K83" s="35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42"/>
      <c r="AW83" s="242"/>
      <c r="AX83" s="242"/>
      <c r="AY83" s="27"/>
      <c r="AZ83" s="27"/>
    </row>
    <row r="84" spans="1:52" x14ac:dyDescent="0.25">
      <c r="A84" s="27"/>
      <c r="B84" s="27"/>
      <c r="C84" s="35"/>
      <c r="D84" s="35"/>
      <c r="E84" s="35"/>
      <c r="F84" s="35"/>
      <c r="G84" s="35"/>
      <c r="H84" s="35"/>
      <c r="I84" s="35"/>
      <c r="J84" s="35"/>
      <c r="K84" s="35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42"/>
      <c r="AW84" s="242"/>
      <c r="AX84" s="242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42"/>
      <c r="AW85" s="242"/>
      <c r="AX85" s="242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42"/>
      <c r="AW86" s="242"/>
      <c r="AX86" s="242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42"/>
      <c r="AW87" s="242"/>
      <c r="AX87" s="242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42"/>
      <c r="AW88" s="242"/>
      <c r="AX88" s="242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42"/>
      <c r="AW89" s="242"/>
      <c r="AX89" s="242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42"/>
      <c r="AW90" s="242"/>
      <c r="AX90" s="242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42"/>
      <c r="AW91" s="242"/>
      <c r="AX91" s="242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42"/>
      <c r="AW92" s="242"/>
      <c r="AX92" s="242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42"/>
      <c r="AW93" s="242"/>
      <c r="AX93" s="242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42"/>
      <c r="AW94" s="242"/>
      <c r="AX94" s="242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42"/>
      <c r="AW95" s="242"/>
      <c r="AX95" s="242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42"/>
      <c r="AW96" s="242"/>
      <c r="AX96" s="242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42"/>
      <c r="AW97" s="242"/>
      <c r="AX97" s="242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42"/>
      <c r="AW98" s="242"/>
      <c r="AX98" s="242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42"/>
      <c r="AW99" s="242"/>
      <c r="AX99" s="242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42"/>
      <c r="AW100" s="242"/>
      <c r="AX100" s="242"/>
      <c r="AY100" s="27"/>
      <c r="AZ100" s="27"/>
    </row>
    <row r="101" spans="1:52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42"/>
      <c r="AW101" s="242"/>
      <c r="AX101" s="242"/>
      <c r="AY101" s="27"/>
      <c r="AZ101" s="27"/>
    </row>
    <row r="102" spans="1:52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42"/>
      <c r="AW102" s="242"/>
      <c r="AX102" s="242"/>
      <c r="AY102" s="27"/>
      <c r="AZ102" s="27"/>
    </row>
    <row r="103" spans="1:52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42"/>
      <c r="AW103" s="242"/>
      <c r="AX103" s="242"/>
      <c r="AY103" s="27"/>
      <c r="AZ103" s="27"/>
    </row>
    <row r="104" spans="1:52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42"/>
      <c r="AW104" s="242"/>
      <c r="AX104" s="242"/>
      <c r="AY104" s="27"/>
      <c r="AZ104" s="27"/>
    </row>
    <row r="105" spans="1:52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42"/>
      <c r="AW105" s="242"/>
      <c r="AX105" s="242"/>
      <c r="AY105" s="27"/>
      <c r="AZ105" s="27"/>
    </row>
    <row r="106" spans="1:52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42"/>
      <c r="AW106" s="242"/>
      <c r="AX106" s="242"/>
      <c r="AY106" s="27"/>
      <c r="AZ106" s="27"/>
    </row>
    <row r="107" spans="1:52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42"/>
      <c r="AW107" s="242"/>
      <c r="AX107" s="242"/>
      <c r="AY107" s="27"/>
      <c r="AZ107" s="27"/>
    </row>
    <row r="108" spans="1:5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42"/>
      <c r="AW108" s="242"/>
      <c r="AX108" s="242"/>
      <c r="AY108" s="27"/>
      <c r="AZ108" s="27"/>
    </row>
    <row r="109" spans="1:52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42"/>
      <c r="AW109" s="242"/>
      <c r="AX109" s="242"/>
      <c r="AY109" s="27"/>
      <c r="AZ109" s="27"/>
    </row>
    <row r="110" spans="1:52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42"/>
      <c r="AW110" s="242"/>
      <c r="AX110" s="242"/>
      <c r="AY110" s="27"/>
      <c r="AZ110" s="27"/>
    </row>
    <row r="111" spans="1:52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42"/>
      <c r="AW111" s="242"/>
      <c r="AX111" s="242"/>
      <c r="AY111" s="27"/>
      <c r="AZ111" s="27"/>
    </row>
    <row r="112" spans="1:52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42"/>
      <c r="AW112" s="242"/>
      <c r="AX112" s="242"/>
      <c r="AY112" s="27"/>
      <c r="AZ112" s="27"/>
    </row>
    <row r="113" spans="1:52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42"/>
      <c r="AW113" s="242"/>
      <c r="AX113" s="242"/>
      <c r="AY113" s="27"/>
      <c r="AZ113" s="27"/>
    </row>
    <row r="114" spans="1:52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42"/>
      <c r="AW114" s="242"/>
      <c r="AX114" s="242"/>
      <c r="AY114" s="27"/>
      <c r="AZ114" s="27"/>
    </row>
    <row r="115" spans="1:52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42"/>
      <c r="AW115" s="242"/>
      <c r="AX115" s="242"/>
      <c r="AY115" s="27"/>
      <c r="AZ115" s="27"/>
    </row>
    <row r="116" spans="1:52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42"/>
      <c r="AW116" s="242"/>
      <c r="AX116" s="242"/>
      <c r="AY116" s="27"/>
      <c r="AZ116" s="27"/>
    </row>
    <row r="117" spans="1:52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42"/>
      <c r="AW117" s="242"/>
      <c r="AX117" s="242"/>
      <c r="AY117" s="27"/>
      <c r="AZ117" s="27"/>
    </row>
    <row r="118" spans="1:52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42"/>
      <c r="AW118" s="242"/>
      <c r="AX118" s="242"/>
      <c r="AY118" s="27"/>
      <c r="AZ118" s="27"/>
    </row>
    <row r="119" spans="1:52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42"/>
      <c r="AW119" s="242"/>
      <c r="AX119" s="242"/>
      <c r="AY119" s="27"/>
      <c r="AZ119" s="27"/>
    </row>
    <row r="120" spans="1:52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42"/>
      <c r="AW120" s="242"/>
      <c r="AX120" s="242"/>
      <c r="AY120" s="27"/>
      <c r="AZ120" s="27"/>
    </row>
    <row r="121" spans="1:52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42"/>
      <c r="AW121" s="242"/>
      <c r="AX121" s="242"/>
      <c r="AY121" s="27"/>
      <c r="AZ121" s="27"/>
    </row>
    <row r="122" spans="1:52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42"/>
      <c r="AW122" s="242"/>
      <c r="AX122" s="242"/>
      <c r="AY122" s="27"/>
      <c r="AZ122" s="27"/>
    </row>
    <row r="123" spans="1:52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42"/>
      <c r="AW123" s="242"/>
      <c r="AX123" s="242"/>
      <c r="AY123" s="27"/>
      <c r="AZ123" s="27"/>
    </row>
    <row r="124" spans="1:52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42"/>
      <c r="AW124" s="242"/>
      <c r="AX124" s="242"/>
      <c r="AY124" s="27"/>
      <c r="AZ124" s="27"/>
    </row>
    <row r="125" spans="1:52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42"/>
      <c r="AW125" s="242"/>
      <c r="AX125" s="242"/>
      <c r="AY125" s="27"/>
      <c r="AZ125" s="27"/>
    </row>
    <row r="126" spans="1:52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42"/>
      <c r="AW126" s="242"/>
      <c r="AX126" s="242"/>
      <c r="AY126" s="27"/>
      <c r="AZ126" s="27"/>
    </row>
    <row r="127" spans="1:52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42"/>
      <c r="AW127" s="242"/>
      <c r="AX127" s="242"/>
      <c r="AY127" s="27"/>
      <c r="AZ127" s="27"/>
    </row>
    <row r="128" spans="1:52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42"/>
      <c r="AW128" s="242"/>
      <c r="AX128" s="242"/>
      <c r="AY128" s="27"/>
      <c r="AZ128" s="27"/>
    </row>
    <row r="129" spans="1:52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42"/>
      <c r="AW129" s="242"/>
      <c r="AX129" s="242"/>
      <c r="AY129" s="27"/>
      <c r="AZ129" s="27"/>
    </row>
    <row r="130" spans="1:52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42"/>
      <c r="AW130" s="242"/>
      <c r="AX130" s="242"/>
      <c r="AY130" s="27"/>
      <c r="AZ130" s="27"/>
    </row>
    <row r="131" spans="1:52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42"/>
      <c r="AW131" s="242"/>
      <c r="AX131" s="242"/>
      <c r="AY131" s="27"/>
      <c r="AZ131" s="27"/>
    </row>
    <row r="132" spans="1:52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42"/>
      <c r="AW132" s="242"/>
      <c r="AX132" s="242"/>
      <c r="AY132" s="27"/>
      <c r="AZ132" s="27"/>
    </row>
    <row r="133" spans="1:52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42"/>
      <c r="AW133" s="242"/>
      <c r="AX133" s="242"/>
      <c r="AY133" s="27"/>
      <c r="AZ133" s="27"/>
    </row>
    <row r="134" spans="1:52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42"/>
      <c r="AW134" s="242"/>
      <c r="AX134" s="242"/>
      <c r="AY134" s="27"/>
      <c r="AZ134" s="27"/>
    </row>
    <row r="135" spans="1:52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42"/>
      <c r="AW135" s="242"/>
      <c r="AX135" s="242"/>
      <c r="AY135" s="27"/>
      <c r="AZ135" s="27"/>
    </row>
    <row r="136" spans="1:52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42"/>
      <c r="AW136" s="242"/>
      <c r="AX136" s="242"/>
      <c r="AY136" s="27"/>
      <c r="AZ136" s="27"/>
    </row>
    <row r="137" spans="1:52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42"/>
      <c r="AW137" s="242"/>
      <c r="AX137" s="242"/>
      <c r="AY137" s="27"/>
      <c r="AZ137" s="27"/>
    </row>
    <row r="138" spans="1:52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42"/>
      <c r="AW138" s="242"/>
      <c r="AX138" s="242"/>
      <c r="AY138" s="27"/>
      <c r="AZ138" s="27"/>
    </row>
    <row r="139" spans="1:52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42"/>
      <c r="AW139" s="242"/>
      <c r="AX139" s="242"/>
      <c r="AY139" s="27"/>
      <c r="AZ139" s="27"/>
    </row>
    <row r="140" spans="1:52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42"/>
      <c r="AW140" s="242"/>
      <c r="AX140" s="242"/>
      <c r="AY140" s="27"/>
      <c r="AZ140" s="27"/>
    </row>
    <row r="141" spans="1:52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42"/>
      <c r="AW141" s="242"/>
      <c r="AX141" s="242"/>
      <c r="AY141" s="27"/>
      <c r="AZ141" s="27"/>
    </row>
    <row r="142" spans="1:52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42"/>
      <c r="AW142" s="242"/>
      <c r="AX142" s="242"/>
      <c r="AY142" s="27"/>
      <c r="AZ142" s="27"/>
    </row>
    <row r="143" spans="1:52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42"/>
      <c r="AW143" s="242"/>
      <c r="AX143" s="242"/>
      <c r="AY143" s="27"/>
      <c r="AZ143" s="27"/>
    </row>
    <row r="144" spans="1:52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42"/>
      <c r="AW144" s="242"/>
      <c r="AX144" s="242"/>
      <c r="AY144" s="27"/>
      <c r="AZ144" s="27"/>
    </row>
    <row r="145" spans="1:52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42"/>
      <c r="AW145" s="242"/>
      <c r="AX145" s="242"/>
      <c r="AY145" s="27"/>
      <c r="AZ145" s="27"/>
    </row>
    <row r="146" spans="1:52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42"/>
      <c r="AW146" s="242"/>
      <c r="AX146" s="242"/>
      <c r="AY146" s="27"/>
      <c r="AZ146" s="27"/>
    </row>
    <row r="147" spans="1:52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42"/>
      <c r="AW147" s="242"/>
      <c r="AX147" s="242"/>
      <c r="AY147" s="27"/>
      <c r="AZ147" s="27"/>
    </row>
    <row r="148" spans="1:52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42"/>
      <c r="AW148" s="242"/>
      <c r="AX148" s="242"/>
      <c r="AY148" s="27"/>
      <c r="AZ148" s="27"/>
    </row>
    <row r="149" spans="1:52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42"/>
      <c r="AW149" s="242"/>
      <c r="AX149" s="242"/>
      <c r="AY149" s="27"/>
      <c r="AZ149" s="27"/>
    </row>
    <row r="150" spans="1:52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42"/>
      <c r="AW150" s="242"/>
      <c r="AX150" s="242"/>
      <c r="AY150" s="27"/>
      <c r="AZ150" s="27"/>
    </row>
    <row r="151" spans="1:52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42"/>
      <c r="AW151" s="242"/>
      <c r="AX151" s="242"/>
      <c r="AY151" s="27"/>
      <c r="AZ151" s="27"/>
    </row>
    <row r="152" spans="1:52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42"/>
      <c r="AW152" s="242"/>
      <c r="AX152" s="242"/>
      <c r="AY152" s="27"/>
      <c r="AZ152" s="27"/>
    </row>
    <row r="153" spans="1:52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42"/>
      <c r="AW153" s="242"/>
      <c r="AX153" s="242"/>
      <c r="AY153" s="27"/>
      <c r="AZ153" s="27"/>
    </row>
    <row r="154" spans="1:52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42"/>
      <c r="AW154" s="242"/>
      <c r="AX154" s="242"/>
      <c r="AY154" s="27"/>
      <c r="AZ154" s="27"/>
    </row>
    <row r="155" spans="1:52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42"/>
      <c r="AW155" s="242"/>
      <c r="AX155" s="242"/>
      <c r="AY155" s="27"/>
      <c r="AZ155" s="27"/>
    </row>
    <row r="156" spans="1:52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42"/>
      <c r="AW156" s="242"/>
      <c r="AX156" s="242"/>
      <c r="AY156" s="27"/>
      <c r="AZ156" s="27"/>
    </row>
    <row r="157" spans="1:52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42"/>
      <c r="AW157" s="242"/>
      <c r="AX157" s="242"/>
      <c r="AY157" s="27"/>
      <c r="AZ157" s="27"/>
    </row>
    <row r="158" spans="1:52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42"/>
      <c r="AW158" s="242"/>
      <c r="AX158" s="242"/>
      <c r="AY158" s="27"/>
      <c r="AZ158" s="27"/>
    </row>
    <row r="159" spans="1:52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42"/>
      <c r="AW159" s="242"/>
      <c r="AX159" s="242"/>
      <c r="AY159" s="27"/>
      <c r="AZ159" s="27"/>
    </row>
    <row r="160" spans="1:52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42"/>
      <c r="AW160" s="242"/>
      <c r="AX160" s="242"/>
      <c r="AY160" s="27"/>
      <c r="AZ160" s="27"/>
    </row>
    <row r="161" spans="1:52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42"/>
      <c r="AW161" s="242"/>
      <c r="AX161" s="242"/>
      <c r="AY161" s="27"/>
      <c r="AZ161" s="27"/>
    </row>
    <row r="162" spans="1:52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42"/>
      <c r="AW162" s="242"/>
      <c r="AX162" s="242"/>
      <c r="AY162" s="27"/>
      <c r="AZ162" s="27"/>
    </row>
    <row r="163" spans="1:52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42"/>
      <c r="AW163" s="242"/>
      <c r="AX163" s="242"/>
      <c r="AY163" s="27"/>
      <c r="AZ163" s="27"/>
    </row>
    <row r="164" spans="1:52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42"/>
      <c r="AW164" s="242"/>
      <c r="AX164" s="242"/>
      <c r="AY164" s="27"/>
      <c r="AZ164" s="27"/>
    </row>
    <row r="165" spans="1:52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42"/>
      <c r="AW165" s="242"/>
      <c r="AX165" s="242"/>
      <c r="AY165" s="27"/>
      <c r="AZ165" s="27"/>
    </row>
    <row r="166" spans="1:52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42"/>
      <c r="AW166" s="242"/>
      <c r="AX166" s="242"/>
      <c r="AY166" s="27"/>
      <c r="AZ166" s="27"/>
    </row>
    <row r="167" spans="1:52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42"/>
      <c r="AW167" s="242"/>
      <c r="AX167" s="242"/>
      <c r="AY167" s="27"/>
      <c r="AZ167" s="27"/>
    </row>
    <row r="168" spans="1:52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42"/>
      <c r="AW168" s="242"/>
      <c r="AX168" s="242"/>
      <c r="AY168" s="27"/>
      <c r="AZ168" s="27"/>
    </row>
    <row r="169" spans="1:52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42"/>
      <c r="AW169" s="242"/>
      <c r="AX169" s="242"/>
      <c r="AY169" s="27"/>
      <c r="AZ169" s="27"/>
    </row>
    <row r="170" spans="1:52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42"/>
      <c r="AW170" s="242"/>
      <c r="AX170" s="242"/>
      <c r="AY170" s="27"/>
      <c r="AZ170" s="27"/>
    </row>
    <row r="171" spans="1:52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42"/>
      <c r="AW171" s="242"/>
      <c r="AX171" s="242"/>
      <c r="AY171" s="27"/>
      <c r="AZ171" s="27"/>
    </row>
    <row r="172" spans="1:52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42"/>
      <c r="AW172" s="242"/>
      <c r="AX172" s="242"/>
      <c r="AY172" s="27"/>
      <c r="AZ172" s="27"/>
    </row>
    <row r="173" spans="1:52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42"/>
      <c r="AW173" s="242"/>
      <c r="AX173" s="242"/>
      <c r="AY173" s="27"/>
      <c r="AZ173" s="27"/>
    </row>
    <row r="174" spans="1:52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42"/>
      <c r="AW174" s="242"/>
      <c r="AX174" s="242"/>
      <c r="AY174" s="27"/>
      <c r="AZ174" s="27"/>
    </row>
    <row r="175" spans="1:52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42"/>
      <c r="AW175" s="242"/>
      <c r="AX175" s="242"/>
      <c r="AY175" s="27"/>
      <c r="AZ175" s="27"/>
    </row>
    <row r="176" spans="1:52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42"/>
      <c r="AW176" s="242"/>
      <c r="AX176" s="242"/>
      <c r="AY176" s="27"/>
      <c r="AZ176" s="27"/>
    </row>
    <row r="177" spans="1:52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42"/>
      <c r="AW177" s="242"/>
      <c r="AX177" s="242"/>
      <c r="AY177" s="27"/>
      <c r="AZ177" s="27"/>
    </row>
    <row r="178" spans="1:52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42"/>
      <c r="AW178" s="242"/>
      <c r="AX178" s="242"/>
      <c r="AY178" s="27"/>
      <c r="AZ178" s="27"/>
    </row>
    <row r="179" spans="1:52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42"/>
      <c r="AW179" s="242"/>
      <c r="AX179" s="242"/>
      <c r="AY179" s="27"/>
      <c r="AZ179" s="27"/>
    </row>
    <row r="180" spans="1:52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42"/>
      <c r="AW180" s="242"/>
      <c r="AX180" s="242"/>
      <c r="AY180" s="27"/>
      <c r="AZ180" s="27"/>
    </row>
    <row r="181" spans="1:52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42"/>
      <c r="AW181" s="242"/>
      <c r="AX181" s="242"/>
      <c r="AY181" s="27"/>
      <c r="AZ181" s="27"/>
    </row>
    <row r="182" spans="1:52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42"/>
      <c r="AW182" s="242"/>
      <c r="AX182" s="242"/>
      <c r="AY182" s="27"/>
      <c r="AZ182" s="27"/>
    </row>
    <row r="183" spans="1:52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42"/>
      <c r="AW183" s="242"/>
      <c r="AX183" s="242"/>
      <c r="AY183" s="27"/>
      <c r="AZ183" s="27"/>
    </row>
    <row r="184" spans="1:52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42"/>
      <c r="AW184" s="242"/>
      <c r="AX184" s="242"/>
      <c r="AY184" s="27"/>
      <c r="AZ184" s="27"/>
    </row>
    <row r="185" spans="1:52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42"/>
      <c r="AW185" s="242"/>
      <c r="AX185" s="242"/>
      <c r="AY185" s="27"/>
      <c r="AZ185" s="27"/>
    </row>
    <row r="186" spans="1:52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42"/>
      <c r="AW186" s="242"/>
      <c r="AX186" s="242"/>
      <c r="AY186" s="27"/>
      <c r="AZ186" s="27"/>
    </row>
    <row r="187" spans="1:52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42"/>
      <c r="AW187" s="242"/>
      <c r="AX187" s="242"/>
      <c r="AY187" s="27"/>
      <c r="AZ187" s="27"/>
    </row>
    <row r="188" spans="1:52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42"/>
      <c r="AW188" s="242"/>
      <c r="AX188" s="242"/>
      <c r="AY188" s="27"/>
      <c r="AZ188" s="27"/>
    </row>
    <row r="189" spans="1:52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42"/>
      <c r="AW189" s="242"/>
      <c r="AX189" s="242"/>
      <c r="AY189" s="27"/>
      <c r="AZ189" s="27"/>
    </row>
    <row r="190" spans="1:52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42"/>
      <c r="AW190" s="242"/>
      <c r="AX190" s="242"/>
      <c r="AY190" s="27"/>
      <c r="AZ190" s="27"/>
    </row>
    <row r="191" spans="1:52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42"/>
      <c r="AW191" s="242"/>
      <c r="AX191" s="242"/>
      <c r="AY191" s="27"/>
      <c r="AZ191" s="27"/>
    </row>
    <row r="192" spans="1:52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42"/>
      <c r="AW192" s="242"/>
      <c r="AX192" s="242"/>
      <c r="AY192" s="27"/>
      <c r="AZ192" s="27"/>
    </row>
    <row r="193" spans="1:52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42"/>
      <c r="AW193" s="242"/>
      <c r="AX193" s="242"/>
      <c r="AY193" s="27"/>
      <c r="AZ193" s="27"/>
    </row>
    <row r="194" spans="1:52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42"/>
      <c r="AW194" s="242"/>
      <c r="AX194" s="242"/>
      <c r="AY194" s="27"/>
      <c r="AZ194" s="27"/>
    </row>
    <row r="195" spans="1:52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42"/>
      <c r="AW195" s="242"/>
      <c r="AX195" s="242"/>
      <c r="AY195" s="27"/>
      <c r="AZ195" s="27"/>
    </row>
    <row r="196" spans="1:52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42"/>
      <c r="AW196" s="242"/>
      <c r="AX196" s="242"/>
      <c r="AY196" s="27"/>
      <c r="AZ196" s="27"/>
    </row>
    <row r="197" spans="1:52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42"/>
      <c r="AW197" s="242"/>
      <c r="AX197" s="242"/>
      <c r="AY197" s="27"/>
      <c r="AZ197" s="27"/>
    </row>
    <row r="198" spans="1:52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42"/>
      <c r="AW198" s="242"/>
      <c r="AX198" s="242"/>
      <c r="AY198" s="27"/>
      <c r="AZ198" s="27"/>
    </row>
    <row r="199" spans="1:52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42"/>
      <c r="AW199" s="242"/>
      <c r="AX199" s="242"/>
      <c r="AY199" s="27"/>
      <c r="AZ199" s="27"/>
    </row>
    <row r="200" spans="1:52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42"/>
      <c r="AW200" s="242"/>
      <c r="AX200" s="242"/>
      <c r="AY200" s="27"/>
      <c r="AZ200" s="27"/>
    </row>
    <row r="201" spans="1:52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42"/>
      <c r="AW201" s="242"/>
      <c r="AX201" s="242"/>
      <c r="AY201" s="27"/>
      <c r="AZ201" s="27"/>
    </row>
    <row r="202" spans="1:52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42"/>
      <c r="AW202" s="242"/>
      <c r="AX202" s="242"/>
      <c r="AY202" s="27"/>
      <c r="AZ202" s="27"/>
    </row>
    <row r="203" spans="1:52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42"/>
      <c r="AW203" s="242"/>
      <c r="AX203" s="242"/>
      <c r="AY203" s="27"/>
      <c r="AZ203" s="27"/>
    </row>
    <row r="204" spans="1:52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42"/>
      <c r="AW204" s="242"/>
      <c r="AX204" s="242"/>
      <c r="AY204" s="27"/>
      <c r="AZ204" s="27"/>
    </row>
    <row r="205" spans="1:52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42"/>
      <c r="AW205" s="242"/>
      <c r="AX205" s="242"/>
      <c r="AY205" s="27"/>
      <c r="AZ205" s="27"/>
    </row>
    <row r="206" spans="1:52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42"/>
      <c r="AW206" s="242"/>
      <c r="AX206" s="242"/>
      <c r="AY206" s="27"/>
      <c r="AZ206" s="27"/>
    </row>
    <row r="207" spans="1:52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42"/>
      <c r="AW207" s="242"/>
      <c r="AX207" s="242"/>
      <c r="AY207" s="27"/>
      <c r="AZ207" s="27"/>
    </row>
    <row r="208" spans="1:52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42"/>
      <c r="AW208" s="242"/>
      <c r="AX208" s="242"/>
      <c r="AY208" s="27"/>
      <c r="AZ208" s="27"/>
    </row>
    <row r="209" spans="1:52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42"/>
      <c r="AW209" s="242"/>
      <c r="AX209" s="242"/>
      <c r="AY209" s="27"/>
      <c r="AZ209" s="27"/>
    </row>
    <row r="210" spans="1:52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42"/>
      <c r="AW210" s="242"/>
      <c r="AX210" s="242"/>
      <c r="AY210" s="27"/>
      <c r="AZ210" s="27"/>
    </row>
    <row r="211" spans="1:52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42"/>
      <c r="AW211" s="242"/>
      <c r="AX211" s="242"/>
      <c r="AY211" s="27"/>
      <c r="AZ211" s="27"/>
    </row>
    <row r="212" spans="1:52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42"/>
      <c r="AW212" s="242"/>
      <c r="AX212" s="242"/>
      <c r="AY212" s="27"/>
      <c r="AZ212" s="27"/>
    </row>
    <row r="213" spans="1:52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42"/>
      <c r="AW213" s="242"/>
      <c r="AX213" s="242"/>
      <c r="AY213" s="27"/>
      <c r="AZ213" s="27"/>
    </row>
    <row r="214" spans="1:52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42"/>
      <c r="AW214" s="242"/>
      <c r="AX214" s="242"/>
      <c r="AY214" s="27"/>
      <c r="AZ214" s="27"/>
    </row>
    <row r="215" spans="1:52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42"/>
      <c r="AW215" s="242"/>
      <c r="AX215" s="242"/>
      <c r="AY215" s="27"/>
      <c r="AZ215" s="27"/>
    </row>
    <row r="216" spans="1:52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42"/>
      <c r="AW216" s="242"/>
      <c r="AX216" s="242"/>
      <c r="AY216" s="27"/>
      <c r="AZ216" s="27"/>
    </row>
    <row r="217" spans="1:52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42"/>
      <c r="AW217" s="242"/>
      <c r="AX217" s="242"/>
      <c r="AY217" s="27"/>
      <c r="AZ217" s="27"/>
    </row>
    <row r="218" spans="1:52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42"/>
      <c r="AW218" s="242"/>
      <c r="AX218" s="242"/>
      <c r="AY218" s="27"/>
      <c r="AZ218" s="27"/>
    </row>
    <row r="219" spans="1:52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42"/>
      <c r="AW219" s="242"/>
      <c r="AX219" s="242"/>
      <c r="AY219" s="27"/>
      <c r="AZ219" s="27"/>
    </row>
    <row r="220" spans="1:52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42"/>
      <c r="AW220" s="242"/>
      <c r="AX220" s="242"/>
      <c r="AY220" s="27"/>
      <c r="AZ220" s="27"/>
    </row>
    <row r="221" spans="1:52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42"/>
      <c r="AW221" s="242"/>
      <c r="AX221" s="242"/>
      <c r="AY221" s="27"/>
      <c r="AZ221" s="27"/>
    </row>
    <row r="222" spans="1:52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42"/>
      <c r="AW222" s="242"/>
      <c r="AX222" s="242"/>
      <c r="AY222" s="27"/>
      <c r="AZ222" s="27"/>
    </row>
    <row r="223" spans="1:52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42"/>
      <c r="AW223" s="242"/>
      <c r="AX223" s="242"/>
      <c r="AY223" s="27"/>
      <c r="AZ223" s="27"/>
    </row>
    <row r="224" spans="1:52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42"/>
      <c r="AW224" s="242"/>
      <c r="AX224" s="242"/>
      <c r="AY224" s="27"/>
      <c r="AZ224" s="27"/>
    </row>
    <row r="225" spans="1:52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42"/>
      <c r="AW225" s="242"/>
      <c r="AX225" s="242"/>
      <c r="AY225" s="27"/>
      <c r="AZ225" s="27"/>
    </row>
    <row r="226" spans="1:52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42"/>
      <c r="AW226" s="242"/>
      <c r="AX226" s="242"/>
      <c r="AY226" s="27"/>
      <c r="AZ226" s="27"/>
    </row>
    <row r="227" spans="1:52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42"/>
      <c r="AW227" s="242"/>
      <c r="AX227" s="242"/>
      <c r="AY227" s="27"/>
      <c r="AZ227" s="27"/>
    </row>
    <row r="228" spans="1:52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42"/>
      <c r="AW228" s="242"/>
      <c r="AX228" s="242"/>
      <c r="AY228" s="27"/>
      <c r="AZ228" s="27"/>
    </row>
    <row r="229" spans="1:52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42"/>
      <c r="AW229" s="242"/>
      <c r="AX229" s="242"/>
      <c r="AY229" s="27"/>
      <c r="AZ229" s="27"/>
    </row>
    <row r="230" spans="1:52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42"/>
      <c r="AW230" s="242"/>
      <c r="AX230" s="242"/>
      <c r="AY230" s="27"/>
      <c r="AZ230" s="27"/>
    </row>
    <row r="231" spans="1:52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42"/>
      <c r="AW231" s="242"/>
      <c r="AX231" s="242"/>
      <c r="AY231" s="27"/>
      <c r="AZ231" s="27"/>
    </row>
    <row r="232" spans="1:52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42"/>
      <c r="AW232" s="242"/>
      <c r="AX232" s="242"/>
      <c r="AY232" s="27"/>
      <c r="AZ232" s="27"/>
    </row>
    <row r="233" spans="1:52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42"/>
      <c r="AW233" s="242"/>
      <c r="AX233" s="242"/>
      <c r="AY233" s="27"/>
      <c r="AZ233" s="27"/>
    </row>
    <row r="234" spans="1:52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42"/>
      <c r="AW234" s="242"/>
      <c r="AX234" s="242"/>
      <c r="AY234" s="27"/>
      <c r="AZ234" s="27"/>
    </row>
    <row r="235" spans="1:52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42"/>
      <c r="AW235" s="242"/>
      <c r="AX235" s="242"/>
      <c r="AY235" s="27"/>
      <c r="AZ235" s="27"/>
    </row>
    <row r="236" spans="1:52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42"/>
      <c r="AW236" s="242"/>
      <c r="AX236" s="242"/>
      <c r="AY236" s="27"/>
      <c r="AZ236" s="27"/>
    </row>
    <row r="237" spans="1:52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42"/>
      <c r="AW237" s="242"/>
      <c r="AX237" s="242"/>
      <c r="AY237" s="27"/>
      <c r="AZ237" s="27"/>
    </row>
    <row r="238" spans="1:52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42"/>
      <c r="AW238" s="242"/>
      <c r="AX238" s="242"/>
      <c r="AY238" s="27"/>
      <c r="AZ238" s="27"/>
    </row>
    <row r="239" spans="1:52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42"/>
      <c r="AW239" s="242"/>
      <c r="AX239" s="242"/>
      <c r="AY239" s="27"/>
      <c r="AZ239" s="27"/>
    </row>
    <row r="240" spans="1:52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42"/>
      <c r="AW240" s="242"/>
      <c r="AX240" s="242"/>
      <c r="AY240" s="27"/>
      <c r="AZ240" s="27"/>
    </row>
    <row r="241" spans="1:52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42"/>
      <c r="AW241" s="242"/>
      <c r="AX241" s="242"/>
      <c r="AY241" s="27"/>
      <c r="AZ241" s="27"/>
    </row>
    <row r="242" spans="1:52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42"/>
      <c r="AW242" s="242"/>
      <c r="AX242" s="242"/>
      <c r="AY242" s="27"/>
      <c r="AZ242" s="27"/>
    </row>
    <row r="243" spans="1:52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42"/>
      <c r="AW243" s="242"/>
      <c r="AX243" s="242"/>
      <c r="AY243" s="27"/>
      <c r="AZ243" s="27"/>
    </row>
    <row r="244" spans="1:52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42"/>
      <c r="AW244" s="242"/>
      <c r="AX244" s="242"/>
      <c r="AY244" s="27"/>
      <c r="AZ244" s="27"/>
    </row>
    <row r="245" spans="1:52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42"/>
      <c r="AW245" s="242"/>
      <c r="AX245" s="242"/>
      <c r="AY245" s="27"/>
      <c r="AZ245" s="27"/>
    </row>
    <row r="246" spans="1:52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42"/>
      <c r="AW246" s="242"/>
      <c r="AX246" s="242"/>
      <c r="AY246" s="27"/>
      <c r="AZ246" s="27"/>
    </row>
    <row r="247" spans="1:52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42"/>
      <c r="AW247" s="242"/>
      <c r="AX247" s="242"/>
      <c r="AY247" s="27"/>
      <c r="AZ247" s="27"/>
    </row>
    <row r="248" spans="1:52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42"/>
      <c r="AW248" s="242"/>
      <c r="AX248" s="242"/>
      <c r="AY248" s="27"/>
      <c r="AZ248" s="27"/>
    </row>
    <row r="249" spans="1:52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42"/>
      <c r="AW249" s="242"/>
      <c r="AX249" s="242"/>
      <c r="AY249" s="27"/>
      <c r="AZ249" s="27"/>
    </row>
    <row r="250" spans="1:52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42"/>
      <c r="AW250" s="242"/>
      <c r="AX250" s="242"/>
      <c r="AY250" s="27"/>
      <c r="AZ250" s="27"/>
    </row>
    <row r="251" spans="1:52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42"/>
      <c r="AW251" s="242"/>
      <c r="AX251" s="242"/>
      <c r="AY251" s="27"/>
      <c r="AZ251" s="27"/>
    </row>
    <row r="252" spans="1:52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42"/>
      <c r="AW252" s="242"/>
      <c r="AX252" s="242"/>
      <c r="AY252" s="27"/>
      <c r="AZ252" s="27"/>
    </row>
    <row r="253" spans="1:52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42"/>
      <c r="AW253" s="242"/>
      <c r="AX253" s="242"/>
      <c r="AY253" s="27"/>
      <c r="AZ253" s="27"/>
    </row>
    <row r="254" spans="1:52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42"/>
      <c r="AW254" s="242"/>
      <c r="AX254" s="242"/>
      <c r="AY254" s="27"/>
      <c r="AZ254" s="27"/>
    </row>
    <row r="255" spans="1:52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42"/>
      <c r="AW255" s="242"/>
      <c r="AX255" s="242"/>
      <c r="AY255" s="27"/>
      <c r="AZ255" s="27"/>
    </row>
    <row r="256" spans="1:52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42"/>
      <c r="AW256" s="242"/>
      <c r="AX256" s="242"/>
      <c r="AY256" s="27"/>
      <c r="AZ256" s="27"/>
    </row>
    <row r="257" spans="1:52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42"/>
      <c r="AW257" s="242"/>
      <c r="AX257" s="242"/>
      <c r="AY257" s="27"/>
      <c r="AZ257" s="27"/>
    </row>
    <row r="258" spans="1:52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42"/>
      <c r="AW258" s="242"/>
      <c r="AX258" s="242"/>
      <c r="AY258" s="27"/>
      <c r="AZ258" s="27"/>
    </row>
    <row r="259" spans="1:52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42"/>
      <c r="AW259" s="242"/>
      <c r="AX259" s="242"/>
      <c r="AY259" s="27"/>
      <c r="AZ259" s="27"/>
    </row>
    <row r="260" spans="1:52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42"/>
      <c r="AW260" s="242"/>
      <c r="AX260" s="242"/>
      <c r="AY260" s="27"/>
      <c r="AZ260" s="27"/>
    </row>
    <row r="261" spans="1:52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42"/>
      <c r="AW261" s="242"/>
      <c r="AX261" s="242"/>
      <c r="AY261" s="27"/>
      <c r="AZ261" s="27"/>
    </row>
    <row r="262" spans="1:52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42"/>
      <c r="AW262" s="242"/>
      <c r="AX262" s="242"/>
      <c r="AY262" s="27"/>
      <c r="AZ262" s="27"/>
    </row>
    <row r="263" spans="1:52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42"/>
      <c r="AW263" s="242"/>
      <c r="AX263" s="242"/>
      <c r="AY263" s="27"/>
      <c r="AZ263" s="27"/>
    </row>
    <row r="264" spans="1:52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42"/>
      <c r="AW264" s="242"/>
      <c r="AX264" s="242"/>
      <c r="AY264" s="27"/>
      <c r="AZ264" s="27"/>
    </row>
    <row r="265" spans="1:52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42"/>
      <c r="AW265" s="242"/>
      <c r="AX265" s="242"/>
      <c r="AY265" s="27"/>
      <c r="AZ265" s="27"/>
    </row>
    <row r="266" spans="1:52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42"/>
      <c r="AW266" s="242"/>
      <c r="AX266" s="242"/>
      <c r="AY266" s="27"/>
      <c r="AZ266" s="27"/>
    </row>
    <row r="267" spans="1:52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42"/>
      <c r="AW267" s="242"/>
      <c r="AX267" s="242"/>
      <c r="AY267" s="27"/>
      <c r="AZ267" s="27"/>
    </row>
    <row r="268" spans="1:52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42"/>
      <c r="AW268" s="242"/>
      <c r="AX268" s="242"/>
      <c r="AY268" s="27"/>
      <c r="AZ268" s="27"/>
    </row>
    <row r="269" spans="1:52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42"/>
      <c r="AW269" s="242"/>
      <c r="AX269" s="242"/>
      <c r="AY269" s="27"/>
      <c r="AZ269" s="27"/>
    </row>
    <row r="270" spans="1:52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42"/>
      <c r="AW270" s="242"/>
      <c r="AX270" s="242"/>
      <c r="AY270" s="27"/>
      <c r="AZ270" s="27"/>
    </row>
    <row r="271" spans="1:52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42"/>
      <c r="AW271" s="242"/>
      <c r="AX271" s="242"/>
      <c r="AY271" s="27"/>
      <c r="AZ271" s="27"/>
    </row>
    <row r="272" spans="1:52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42"/>
      <c r="AW272" s="242"/>
      <c r="AX272" s="242"/>
      <c r="AY272" s="27"/>
      <c r="AZ272" s="27"/>
    </row>
    <row r="273" spans="1:52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42"/>
      <c r="AW273" s="242"/>
      <c r="AX273" s="242"/>
      <c r="AY273" s="27"/>
      <c r="AZ273" s="27"/>
    </row>
    <row r="274" spans="1:52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42"/>
      <c r="AW274" s="242"/>
      <c r="AX274" s="242"/>
      <c r="AY274" s="27"/>
      <c r="AZ274" s="27"/>
    </row>
    <row r="275" spans="1:52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42"/>
      <c r="AW275" s="242"/>
      <c r="AX275" s="242"/>
      <c r="AY275" s="27"/>
      <c r="AZ275" s="27"/>
    </row>
    <row r="276" spans="1:52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42"/>
      <c r="AW276" s="242"/>
      <c r="AX276" s="242"/>
      <c r="AY276" s="27"/>
      <c r="AZ276" s="27"/>
    </row>
    <row r="277" spans="1:52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42"/>
      <c r="AW277" s="242"/>
      <c r="AX277" s="242"/>
      <c r="AY277" s="27"/>
      <c r="AZ277" s="27"/>
    </row>
    <row r="278" spans="1:52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42"/>
      <c r="AW278" s="242"/>
      <c r="AX278" s="242"/>
      <c r="AY278" s="27"/>
      <c r="AZ278" s="27"/>
    </row>
    <row r="279" spans="1:52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42"/>
      <c r="AW279" s="242"/>
      <c r="AX279" s="242"/>
      <c r="AY279" s="27"/>
      <c r="AZ279" s="27"/>
    </row>
    <row r="280" spans="1:52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42"/>
      <c r="AW280" s="242"/>
      <c r="AX280" s="242"/>
      <c r="AY280" s="27"/>
      <c r="AZ280" s="27"/>
    </row>
    <row r="281" spans="1:52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42"/>
      <c r="AW281" s="242"/>
      <c r="AX281" s="242"/>
      <c r="AY281" s="27"/>
      <c r="AZ281" s="27"/>
    </row>
    <row r="282" spans="1:52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42"/>
      <c r="AW282" s="242"/>
      <c r="AX282" s="242"/>
      <c r="AY282" s="27"/>
      <c r="AZ282" s="27"/>
    </row>
    <row r="283" spans="1:52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42"/>
      <c r="AW283" s="242"/>
      <c r="AX283" s="242"/>
      <c r="AY283" s="27"/>
      <c r="AZ283" s="27"/>
    </row>
    <row r="284" spans="1:52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42"/>
      <c r="AW284" s="242"/>
      <c r="AX284" s="242"/>
      <c r="AY284" s="27"/>
      <c r="AZ284" s="27"/>
    </row>
    <row r="285" spans="1:52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42"/>
      <c r="AW285" s="242"/>
      <c r="AX285" s="242"/>
      <c r="AY285" s="27"/>
      <c r="AZ285" s="27"/>
    </row>
    <row r="286" spans="1:52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42"/>
      <c r="AW286" s="242"/>
      <c r="AX286" s="242"/>
      <c r="AY286" s="27"/>
      <c r="AZ286" s="27"/>
    </row>
    <row r="287" spans="1:52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42"/>
      <c r="AW287" s="242"/>
      <c r="AX287" s="242"/>
      <c r="AY287" s="27"/>
      <c r="AZ287" s="27"/>
    </row>
    <row r="288" spans="1:52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42"/>
      <c r="AW288" s="242"/>
      <c r="AX288" s="242"/>
      <c r="AY288" s="27"/>
      <c r="AZ288" s="27"/>
    </row>
    <row r="289" spans="1:52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42"/>
      <c r="AW289" s="242"/>
      <c r="AX289" s="242"/>
      <c r="AY289" s="27"/>
      <c r="AZ289" s="27"/>
    </row>
    <row r="290" spans="1:52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42"/>
      <c r="AW290" s="242"/>
      <c r="AX290" s="242"/>
      <c r="AY290" s="27"/>
      <c r="AZ290" s="27"/>
    </row>
    <row r="291" spans="1:52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42"/>
      <c r="AW291" s="242"/>
      <c r="AX291" s="242"/>
      <c r="AY291" s="27"/>
      <c r="AZ291" s="27"/>
    </row>
    <row r="292" spans="1:52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42"/>
      <c r="AW292" s="242"/>
      <c r="AX292" s="242"/>
      <c r="AY292" s="27"/>
      <c r="AZ292" s="27"/>
    </row>
    <row r="293" spans="1:52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42"/>
      <c r="AW293" s="242"/>
      <c r="AX293" s="242"/>
      <c r="AY293" s="27"/>
      <c r="AZ293" s="27"/>
    </row>
    <row r="294" spans="1:52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42"/>
      <c r="AW294" s="242"/>
      <c r="AX294" s="242"/>
      <c r="AY294" s="27"/>
      <c r="AZ294" s="27"/>
    </row>
    <row r="295" spans="1:52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42"/>
      <c r="AW295" s="242"/>
      <c r="AX295" s="242"/>
      <c r="AY295" s="27"/>
      <c r="AZ295" s="27"/>
    </row>
    <row r="296" spans="1:52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42"/>
      <c r="AW296" s="242"/>
      <c r="AX296" s="242"/>
      <c r="AY296" s="27"/>
      <c r="AZ296" s="27"/>
    </row>
    <row r="297" spans="1:52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42"/>
      <c r="AW297" s="242"/>
      <c r="AX297" s="242"/>
      <c r="AY297" s="27"/>
      <c r="AZ297" s="27"/>
    </row>
    <row r="298" spans="1:52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42"/>
      <c r="AW298" s="242"/>
      <c r="AX298" s="242"/>
      <c r="AY298" s="27"/>
      <c r="AZ298" s="27"/>
    </row>
    <row r="299" spans="1:52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42"/>
      <c r="AW299" s="242"/>
      <c r="AX299" s="242"/>
      <c r="AY299" s="27"/>
      <c r="AZ299" s="27"/>
    </row>
    <row r="300" spans="1:52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42"/>
      <c r="AW300" s="242"/>
      <c r="AX300" s="242"/>
      <c r="AY300" s="27"/>
      <c r="AZ300" s="27"/>
    </row>
    <row r="301" spans="1:52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42"/>
      <c r="AW301" s="242"/>
      <c r="AX301" s="242"/>
      <c r="AY301" s="27"/>
      <c r="AZ301" s="27"/>
    </row>
    <row r="302" spans="1:52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42"/>
      <c r="AW302" s="242"/>
      <c r="AX302" s="242"/>
      <c r="AY302" s="27"/>
      <c r="AZ302" s="27"/>
    </row>
    <row r="303" spans="1:52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42"/>
      <c r="AW303" s="242"/>
      <c r="AX303" s="242"/>
      <c r="AY303" s="27"/>
      <c r="AZ303" s="27"/>
    </row>
    <row r="304" spans="1:52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42"/>
      <c r="AW304" s="242"/>
      <c r="AX304" s="242"/>
      <c r="AY304" s="27"/>
      <c r="AZ304" s="27"/>
    </row>
    <row r="305" spans="1:52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42"/>
      <c r="AW305" s="242"/>
      <c r="AX305" s="242"/>
      <c r="AY305" s="27"/>
      <c r="AZ305" s="27"/>
    </row>
    <row r="306" spans="1:52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42"/>
      <c r="AW306" s="242"/>
      <c r="AX306" s="242"/>
      <c r="AY306" s="27"/>
      <c r="AZ306" s="27"/>
    </row>
    <row r="307" spans="1:52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42"/>
      <c r="AW307" s="242"/>
      <c r="AX307" s="242"/>
      <c r="AY307" s="27"/>
      <c r="AZ307" s="27"/>
    </row>
    <row r="308" spans="1:52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42"/>
      <c r="AW308" s="242"/>
      <c r="AX308" s="242"/>
      <c r="AY308" s="27"/>
      <c r="AZ308" s="27"/>
    </row>
    <row r="309" spans="1:52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42"/>
      <c r="AW309" s="242"/>
      <c r="AX309" s="242"/>
      <c r="AY309" s="27"/>
      <c r="AZ309" s="27"/>
    </row>
    <row r="310" spans="1:52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42"/>
      <c r="AW310" s="242"/>
      <c r="AX310" s="242"/>
      <c r="AY310" s="27"/>
      <c r="AZ310" s="27"/>
    </row>
    <row r="311" spans="1:52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42"/>
      <c r="AW311" s="242"/>
      <c r="AX311" s="242"/>
      <c r="AY311" s="27"/>
      <c r="AZ311" s="27"/>
    </row>
    <row r="312" spans="1:52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42"/>
      <c r="AW312" s="242"/>
      <c r="AX312" s="242"/>
      <c r="AY312" s="27"/>
      <c r="AZ312" s="27"/>
    </row>
    <row r="313" spans="1:52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42"/>
      <c r="AW313" s="242"/>
      <c r="AX313" s="242"/>
      <c r="AY313" s="27"/>
      <c r="AZ313" s="27"/>
    </row>
    <row r="314" spans="1:52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42"/>
      <c r="AW314" s="242"/>
      <c r="AX314" s="242"/>
      <c r="AY314" s="27"/>
      <c r="AZ314" s="27"/>
    </row>
    <row r="315" spans="1:52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42"/>
      <c r="AW315" s="242"/>
      <c r="AX315" s="242"/>
      <c r="AY315" s="27"/>
      <c r="AZ315" s="27"/>
    </row>
    <row r="316" spans="1:52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42"/>
      <c r="AW316" s="242"/>
      <c r="AX316" s="242"/>
      <c r="AY316" s="27"/>
      <c r="AZ316" s="27"/>
    </row>
    <row r="317" spans="1:52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42"/>
      <c r="AW317" s="242"/>
      <c r="AX317" s="242"/>
      <c r="AY317" s="27"/>
      <c r="AZ317" s="27"/>
    </row>
    <row r="318" spans="1:52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42"/>
      <c r="AW318" s="242"/>
      <c r="AX318" s="242"/>
      <c r="AY318" s="27"/>
      <c r="AZ318" s="27"/>
    </row>
    <row r="319" spans="1:52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42"/>
      <c r="AW319" s="242"/>
      <c r="AX319" s="242"/>
      <c r="AY319" s="27"/>
      <c r="AZ319" s="27"/>
    </row>
    <row r="320" spans="1:52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42"/>
      <c r="AW320" s="242"/>
      <c r="AX320" s="242"/>
      <c r="AY320" s="27"/>
      <c r="AZ320" s="27"/>
    </row>
    <row r="321" spans="1:52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42"/>
      <c r="AW321" s="242"/>
      <c r="AX321" s="242"/>
      <c r="AY321" s="27"/>
      <c r="AZ321" s="27"/>
    </row>
    <row r="322" spans="1:52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42"/>
      <c r="AW322" s="242"/>
      <c r="AX322" s="242"/>
      <c r="AY322" s="27"/>
      <c r="AZ322" s="27"/>
    </row>
    <row r="323" spans="1:52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42"/>
      <c r="AW323" s="242"/>
      <c r="AX323" s="242"/>
      <c r="AY323" s="27"/>
      <c r="AZ323" s="27"/>
    </row>
    <row r="324" spans="1:52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42"/>
      <c r="AW324" s="242"/>
      <c r="AX324" s="242"/>
      <c r="AY324" s="27"/>
      <c r="AZ324" s="27"/>
    </row>
    <row r="325" spans="1:52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42"/>
      <c r="AW325" s="242"/>
      <c r="AX325" s="242"/>
      <c r="AY325" s="27"/>
      <c r="AZ325" s="27"/>
    </row>
    <row r="326" spans="1:52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42"/>
      <c r="AW326" s="242"/>
      <c r="AX326" s="242"/>
      <c r="AY326" s="27"/>
      <c r="AZ326" s="27"/>
    </row>
    <row r="327" spans="1:52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42"/>
      <c r="AW327" s="242"/>
      <c r="AX327" s="242"/>
      <c r="AY327" s="27"/>
      <c r="AZ327" s="27"/>
    </row>
    <row r="328" spans="1:52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42"/>
      <c r="AW328" s="242"/>
      <c r="AX328" s="242"/>
      <c r="AY328" s="27"/>
      <c r="AZ328" s="27"/>
    </row>
    <row r="329" spans="1:52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42"/>
      <c r="AW329" s="242"/>
      <c r="AX329" s="242"/>
      <c r="AY329" s="27"/>
      <c r="AZ329" s="27"/>
    </row>
    <row r="330" spans="1:52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42"/>
      <c r="AW330" s="242"/>
      <c r="AX330" s="242"/>
      <c r="AY330" s="27"/>
      <c r="AZ330" s="27"/>
    </row>
    <row r="331" spans="1:52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42"/>
      <c r="AW331" s="242"/>
      <c r="AX331" s="242"/>
      <c r="AY331" s="27"/>
      <c r="AZ331" s="27"/>
    </row>
    <row r="332" spans="1:52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42"/>
      <c r="AW332" s="242"/>
      <c r="AX332" s="242"/>
      <c r="AY332" s="27"/>
      <c r="AZ332" s="27"/>
    </row>
    <row r="333" spans="1:52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42"/>
      <c r="AW333" s="242"/>
      <c r="AX333" s="242"/>
      <c r="AY333" s="27"/>
      <c r="AZ333" s="27"/>
    </row>
    <row r="334" spans="1:52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42"/>
      <c r="AW334" s="242"/>
      <c r="AX334" s="242"/>
      <c r="AY334" s="27"/>
      <c r="AZ334" s="27"/>
    </row>
    <row r="335" spans="1:52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42"/>
      <c r="AW335" s="242"/>
      <c r="AX335" s="242"/>
      <c r="AY335" s="27"/>
      <c r="AZ335" s="27"/>
    </row>
    <row r="336" spans="1:52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42"/>
      <c r="AW336" s="242"/>
      <c r="AX336" s="242"/>
      <c r="AY336" s="27"/>
      <c r="AZ336" s="27"/>
    </row>
    <row r="337" spans="1:52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42"/>
      <c r="AW337" s="242"/>
      <c r="AX337" s="242"/>
      <c r="AY337" s="27"/>
      <c r="AZ337" s="27"/>
    </row>
    <row r="338" spans="1:52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42"/>
      <c r="AW338" s="242"/>
      <c r="AX338" s="242"/>
      <c r="AY338" s="27"/>
      <c r="AZ338" s="27"/>
    </row>
    <row r="339" spans="1:52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42"/>
      <c r="AW339" s="242"/>
      <c r="AX339" s="242"/>
      <c r="AY339" s="27"/>
      <c r="AZ339" s="27"/>
    </row>
    <row r="340" spans="1:52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42"/>
      <c r="AW340" s="242"/>
      <c r="AX340" s="242"/>
      <c r="AY340" s="27"/>
      <c r="AZ340" s="27"/>
    </row>
    <row r="341" spans="1:52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42"/>
      <c r="AW341" s="242"/>
      <c r="AX341" s="242"/>
      <c r="AY341" s="27"/>
      <c r="AZ341" s="27"/>
    </row>
    <row r="342" spans="1:52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42"/>
      <c r="AW342" s="242"/>
      <c r="AX342" s="242"/>
      <c r="AY342" s="27"/>
      <c r="AZ342" s="27"/>
    </row>
    <row r="343" spans="1:52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42"/>
      <c r="AW343" s="242"/>
      <c r="AX343" s="242"/>
      <c r="AY343" s="27"/>
      <c r="AZ343" s="27"/>
    </row>
    <row r="344" spans="1:52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42"/>
      <c r="AW344" s="242"/>
      <c r="AX344" s="242"/>
      <c r="AY344" s="27"/>
      <c r="AZ344" s="27"/>
    </row>
    <row r="345" spans="1:52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42"/>
      <c r="AW345" s="242"/>
      <c r="AX345" s="242"/>
      <c r="AY345" s="27"/>
      <c r="AZ345" s="27"/>
    </row>
    <row r="346" spans="1:52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42"/>
      <c r="AW346" s="242"/>
      <c r="AX346" s="242"/>
      <c r="AY346" s="27"/>
      <c r="AZ346" s="27"/>
    </row>
    <row r="347" spans="1:52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42"/>
      <c r="AW347" s="242"/>
      <c r="AX347" s="242"/>
      <c r="AY347" s="27"/>
      <c r="AZ347" s="27"/>
    </row>
    <row r="348" spans="1:52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42"/>
      <c r="AW348" s="242"/>
      <c r="AX348" s="242"/>
      <c r="AY348" s="27"/>
      <c r="AZ348" s="27"/>
    </row>
    <row r="349" spans="1:52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42"/>
      <c r="AW349" s="242"/>
      <c r="AX349" s="242"/>
      <c r="AY349" s="27"/>
      <c r="AZ349" s="27"/>
    </row>
    <row r="350" spans="1:52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42"/>
      <c r="AW350" s="242"/>
      <c r="AX350" s="242"/>
      <c r="AY350" s="27"/>
      <c r="AZ350" s="27"/>
    </row>
    <row r="351" spans="1:52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42"/>
      <c r="AW351" s="242"/>
      <c r="AX351" s="242"/>
      <c r="AY351" s="27"/>
      <c r="AZ351" s="27"/>
    </row>
    <row r="352" spans="1:52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42"/>
      <c r="AW352" s="242"/>
      <c r="AX352" s="242"/>
      <c r="AY352" s="27"/>
      <c r="AZ352" s="27"/>
    </row>
    <row r="353" spans="1:52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42"/>
      <c r="AW353" s="242"/>
      <c r="AX353" s="242"/>
      <c r="AY353" s="27"/>
      <c r="AZ353" s="27"/>
    </row>
    <row r="354" spans="1:52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42"/>
      <c r="AW354" s="242"/>
      <c r="AX354" s="242"/>
      <c r="AY354" s="27"/>
      <c r="AZ354" s="27"/>
    </row>
    <row r="355" spans="1:52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42"/>
      <c r="AW355" s="242"/>
      <c r="AX355" s="242"/>
      <c r="AY355" s="27"/>
      <c r="AZ355" s="27"/>
    </row>
    <row r="356" spans="1:52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42"/>
      <c r="AW356" s="242"/>
      <c r="AX356" s="242"/>
      <c r="AY356" s="27"/>
      <c r="AZ356" s="27"/>
    </row>
    <row r="357" spans="1:52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42"/>
      <c r="AW357" s="242"/>
      <c r="AX357" s="242"/>
      <c r="AY357" s="27"/>
      <c r="AZ357" s="27"/>
    </row>
    <row r="358" spans="1:52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42"/>
      <c r="AW358" s="242"/>
      <c r="AX358" s="242"/>
      <c r="AY358" s="27"/>
      <c r="AZ358" s="27"/>
    </row>
    <row r="359" spans="1:52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42"/>
      <c r="AW359" s="242"/>
      <c r="AX359" s="242"/>
      <c r="AY359" s="27"/>
      <c r="AZ359" s="27"/>
    </row>
    <row r="360" spans="1:52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42"/>
      <c r="AW360" s="242"/>
      <c r="AX360" s="242"/>
      <c r="AY360" s="27"/>
      <c r="AZ360" s="27"/>
    </row>
    <row r="361" spans="1:52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42"/>
      <c r="AW361" s="242"/>
      <c r="AX361" s="242"/>
      <c r="AY361" s="27"/>
      <c r="AZ361" s="27"/>
    </row>
    <row r="362" spans="1:52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42"/>
      <c r="AW362" s="242"/>
      <c r="AX362" s="242"/>
      <c r="AY362" s="27"/>
      <c r="AZ362" s="27"/>
    </row>
    <row r="363" spans="1:52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42"/>
      <c r="AW363" s="242"/>
      <c r="AX363" s="242"/>
      <c r="AY363" s="27"/>
      <c r="AZ363" s="27"/>
    </row>
    <row r="364" spans="1:52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42"/>
      <c r="AW364" s="242"/>
      <c r="AX364" s="242"/>
      <c r="AY364" s="27"/>
      <c r="AZ364" s="27"/>
    </row>
    <row r="365" spans="1:52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42"/>
      <c r="AW365" s="242"/>
      <c r="AX365" s="242"/>
      <c r="AY365" s="27"/>
      <c r="AZ365" s="27"/>
    </row>
    <row r="366" spans="1:52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42"/>
      <c r="AW366" s="242"/>
      <c r="AX366" s="242"/>
      <c r="AY366" s="27"/>
      <c r="AZ366" s="27"/>
    </row>
    <row r="367" spans="1:52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42"/>
      <c r="AW367" s="242"/>
      <c r="AX367" s="242"/>
      <c r="AY367" s="27"/>
      <c r="AZ367" s="27"/>
    </row>
    <row r="368" spans="1:52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42"/>
      <c r="AW368" s="242"/>
      <c r="AX368" s="242"/>
      <c r="AY368" s="27"/>
      <c r="AZ368" s="27"/>
    </row>
    <row r="369" spans="1:52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42"/>
      <c r="AW369" s="242"/>
      <c r="AX369" s="242"/>
      <c r="AY369" s="27"/>
      <c r="AZ369" s="27"/>
    </row>
    <row r="370" spans="1:52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42"/>
      <c r="AW370" s="242"/>
      <c r="AX370" s="242"/>
      <c r="AY370" s="27"/>
      <c r="AZ370" s="27"/>
    </row>
    <row r="371" spans="1:52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42"/>
      <c r="AW371" s="242"/>
      <c r="AX371" s="242"/>
      <c r="AY371" s="27"/>
      <c r="AZ371" s="27"/>
    </row>
    <row r="372" spans="1:52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42"/>
      <c r="AW372" s="242"/>
      <c r="AX372" s="242"/>
      <c r="AY372" s="27"/>
      <c r="AZ372" s="27"/>
    </row>
    <row r="373" spans="1:52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42"/>
      <c r="AW373" s="242"/>
      <c r="AX373" s="242"/>
      <c r="AY373" s="27"/>
      <c r="AZ373" s="27"/>
    </row>
    <row r="374" spans="1:52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42"/>
      <c r="AW374" s="242"/>
      <c r="AX374" s="242"/>
      <c r="AY374" s="27"/>
      <c r="AZ374" s="27"/>
    </row>
    <row r="375" spans="1:52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42"/>
      <c r="AW375" s="242"/>
      <c r="AX375" s="242"/>
      <c r="AY375" s="27"/>
      <c r="AZ375" s="27"/>
    </row>
    <row r="376" spans="1:52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42"/>
      <c r="AW376" s="242"/>
      <c r="AX376" s="242"/>
      <c r="AY376" s="27"/>
      <c r="AZ376" s="27"/>
    </row>
    <row r="377" spans="1:52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42"/>
      <c r="AW377" s="242"/>
      <c r="AX377" s="242"/>
      <c r="AY377" s="27"/>
      <c r="AZ377" s="27"/>
    </row>
    <row r="378" spans="1:52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42"/>
      <c r="AW378" s="242"/>
      <c r="AX378" s="242"/>
      <c r="AY378" s="27"/>
      <c r="AZ378" s="27"/>
    </row>
    <row r="379" spans="1:52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42"/>
      <c r="AW379" s="242"/>
      <c r="AX379" s="242"/>
      <c r="AY379" s="27"/>
      <c r="AZ379" s="27"/>
    </row>
    <row r="380" spans="1:52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42"/>
      <c r="AW380" s="242"/>
      <c r="AX380" s="242"/>
      <c r="AY380" s="27"/>
      <c r="AZ380" s="27"/>
    </row>
    <row r="381" spans="1:52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42"/>
      <c r="AW381" s="242"/>
      <c r="AX381" s="242"/>
      <c r="AY381" s="27"/>
      <c r="AZ381" s="27"/>
    </row>
    <row r="382" spans="1:52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42"/>
      <c r="AW382" s="242"/>
      <c r="AX382" s="242"/>
      <c r="AY382" s="27"/>
      <c r="AZ382" s="27"/>
    </row>
    <row r="383" spans="1:52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42"/>
      <c r="AW383" s="242"/>
      <c r="AX383" s="242"/>
      <c r="AY383" s="27"/>
      <c r="AZ383" s="27"/>
    </row>
    <row r="384" spans="1:52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42"/>
      <c r="AW384" s="242"/>
      <c r="AX384" s="242"/>
      <c r="AY384" s="27"/>
      <c r="AZ384" s="27"/>
    </row>
    <row r="385" spans="1:52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42"/>
      <c r="AW385" s="242"/>
      <c r="AX385" s="242"/>
      <c r="AY385" s="27"/>
      <c r="AZ385" s="27"/>
    </row>
    <row r="386" spans="1:52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42"/>
      <c r="AW386" s="242"/>
      <c r="AX386" s="242"/>
      <c r="AY386" s="27"/>
      <c r="AZ386" s="27"/>
    </row>
    <row r="387" spans="1:52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42"/>
      <c r="AW387" s="242"/>
      <c r="AX387" s="242"/>
      <c r="AY387" s="27"/>
      <c r="AZ387" s="27"/>
    </row>
    <row r="388" spans="1:52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42"/>
      <c r="AW388" s="242"/>
      <c r="AX388" s="242"/>
      <c r="AY388" s="27"/>
      <c r="AZ388" s="27"/>
    </row>
    <row r="389" spans="1:52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42"/>
      <c r="AW389" s="242"/>
      <c r="AX389" s="242"/>
      <c r="AY389" s="27"/>
      <c r="AZ389" s="27"/>
    </row>
    <row r="390" spans="1:52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42"/>
      <c r="AW390" s="242"/>
      <c r="AX390" s="242"/>
      <c r="AY390" s="27"/>
      <c r="AZ390" s="27"/>
    </row>
    <row r="391" spans="1:52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42"/>
      <c r="AW391" s="242"/>
      <c r="AX391" s="242"/>
      <c r="AY391" s="27"/>
      <c r="AZ391" s="27"/>
    </row>
    <row r="392" spans="1:52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42"/>
      <c r="AW392" s="242"/>
      <c r="AX392" s="242"/>
      <c r="AY392" s="27"/>
      <c r="AZ392" s="27"/>
    </row>
    <row r="393" spans="1:52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42"/>
      <c r="AW393" s="242"/>
      <c r="AX393" s="242"/>
      <c r="AY393" s="27"/>
      <c r="AZ393" s="27"/>
    </row>
    <row r="394" spans="1:52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42"/>
      <c r="AW394" s="242"/>
      <c r="AX394" s="242"/>
      <c r="AY394" s="27"/>
      <c r="AZ394" s="27"/>
    </row>
    <row r="395" spans="1:52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42"/>
      <c r="AW395" s="242"/>
      <c r="AX395" s="242"/>
      <c r="AY395" s="27"/>
      <c r="AZ395" s="27"/>
    </row>
    <row r="396" spans="1:52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42"/>
      <c r="AW396" s="242"/>
      <c r="AX396" s="242"/>
      <c r="AY396" s="27"/>
      <c r="AZ396" s="27"/>
    </row>
    <row r="397" spans="1:52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42"/>
      <c r="AW397" s="242"/>
      <c r="AX397" s="242"/>
      <c r="AY397" s="27"/>
      <c r="AZ397" s="27"/>
    </row>
    <row r="398" spans="1:52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42"/>
      <c r="AW398" s="242"/>
      <c r="AX398" s="242"/>
      <c r="AY398" s="27"/>
      <c r="AZ398" s="27"/>
    </row>
    <row r="399" spans="1:52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42"/>
      <c r="AW399" s="242"/>
      <c r="AX399" s="242"/>
      <c r="AY399" s="27"/>
      <c r="AZ399" s="27"/>
    </row>
    <row r="400" spans="1:52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42"/>
      <c r="AW400" s="242"/>
      <c r="AX400" s="242"/>
      <c r="AY400" s="27"/>
      <c r="AZ400" s="27"/>
    </row>
    <row r="401" spans="1:52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42"/>
      <c r="AW401" s="242"/>
      <c r="AX401" s="242"/>
      <c r="AY401" s="27"/>
      <c r="AZ401" s="27"/>
    </row>
    <row r="402" spans="1:52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42"/>
      <c r="AW402" s="242"/>
      <c r="AX402" s="242"/>
      <c r="AY402" s="27"/>
      <c r="AZ402" s="27"/>
    </row>
    <row r="403" spans="1:52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42"/>
      <c r="AW403" s="242"/>
      <c r="AX403" s="242"/>
      <c r="AY403" s="27"/>
      <c r="AZ403" s="27"/>
    </row>
    <row r="404" spans="1:52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42"/>
      <c r="AW404" s="242"/>
      <c r="AX404" s="242"/>
      <c r="AY404" s="27"/>
      <c r="AZ404" s="27"/>
    </row>
    <row r="405" spans="1:52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42"/>
      <c r="AW405" s="242"/>
      <c r="AX405" s="242"/>
      <c r="AY405" s="27"/>
      <c r="AZ405" s="27"/>
    </row>
    <row r="406" spans="1:52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42"/>
      <c r="AW406" s="242"/>
      <c r="AX406" s="242"/>
      <c r="AY406" s="27"/>
      <c r="AZ406" s="27"/>
    </row>
    <row r="407" spans="1:52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42"/>
      <c r="AW407" s="242"/>
      <c r="AX407" s="242"/>
      <c r="AY407" s="27"/>
      <c r="AZ407" s="27"/>
    </row>
    <row r="408" spans="1:52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42"/>
      <c r="AW408" s="242"/>
      <c r="AX408" s="242"/>
      <c r="AY408" s="27"/>
      <c r="AZ408" s="27"/>
    </row>
    <row r="409" spans="1:52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42"/>
      <c r="AW409" s="242"/>
      <c r="AX409" s="242"/>
      <c r="AY409" s="27"/>
      <c r="AZ409" s="27"/>
    </row>
    <row r="410" spans="1:52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42"/>
      <c r="AW410" s="242"/>
      <c r="AX410" s="242"/>
      <c r="AY410" s="27"/>
      <c r="AZ410" s="27"/>
    </row>
    <row r="411" spans="1:52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42"/>
      <c r="AW411" s="242"/>
      <c r="AX411" s="242"/>
      <c r="AY411" s="27"/>
      <c r="AZ411" s="27"/>
    </row>
    <row r="412" spans="1:52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42"/>
      <c r="AW412" s="242"/>
      <c r="AX412" s="242"/>
      <c r="AY412" s="27"/>
      <c r="AZ412" s="27"/>
    </row>
    <row r="413" spans="1:52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42"/>
      <c r="AW413" s="242"/>
      <c r="AX413" s="242"/>
      <c r="AY413" s="27"/>
      <c r="AZ413" s="27"/>
    </row>
    <row r="414" spans="1:52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42"/>
      <c r="AW414" s="242"/>
      <c r="AX414" s="242"/>
      <c r="AY414" s="27"/>
      <c r="AZ414" s="27"/>
    </row>
    <row r="415" spans="1:52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42"/>
      <c r="AW415" s="242"/>
      <c r="AX415" s="242"/>
      <c r="AY415" s="27"/>
      <c r="AZ415" s="27"/>
    </row>
    <row r="416" spans="1:52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42"/>
      <c r="AW416" s="242"/>
      <c r="AX416" s="242"/>
      <c r="AY416" s="27"/>
      <c r="AZ416" s="27"/>
    </row>
    <row r="417" spans="1:52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42"/>
      <c r="AW417" s="242"/>
      <c r="AX417" s="242"/>
      <c r="AY417" s="27"/>
      <c r="AZ417" s="27"/>
    </row>
    <row r="418" spans="1:52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42"/>
      <c r="AW418" s="242"/>
      <c r="AX418" s="242"/>
      <c r="AY418" s="27"/>
      <c r="AZ418" s="27"/>
    </row>
    <row r="419" spans="1:52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42"/>
      <c r="AW419" s="242"/>
      <c r="AX419" s="242"/>
      <c r="AY419" s="27"/>
      <c r="AZ419" s="27"/>
    </row>
    <row r="420" spans="1:52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42"/>
      <c r="AW420" s="242"/>
      <c r="AX420" s="242"/>
      <c r="AY420" s="27"/>
      <c r="AZ420" s="27"/>
    </row>
    <row r="421" spans="1:52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42"/>
      <c r="AW421" s="242"/>
      <c r="AX421" s="242"/>
      <c r="AY421" s="27"/>
      <c r="AZ421" s="27"/>
    </row>
    <row r="422" spans="1:52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42"/>
      <c r="AW422" s="242"/>
      <c r="AX422" s="242"/>
      <c r="AY422" s="27"/>
      <c r="AZ422" s="27"/>
    </row>
    <row r="423" spans="1:52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42"/>
      <c r="AW423" s="242"/>
      <c r="AX423" s="242"/>
      <c r="AY423" s="27"/>
      <c r="AZ423" s="27"/>
    </row>
    <row r="424" spans="1:52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42"/>
      <c r="AW424" s="242"/>
      <c r="AX424" s="242"/>
      <c r="AY424" s="27"/>
      <c r="AZ424" s="27"/>
    </row>
    <row r="425" spans="1:52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42"/>
      <c r="AW425" s="242"/>
      <c r="AX425" s="242"/>
      <c r="AY425" s="27"/>
      <c r="AZ425" s="27"/>
    </row>
    <row r="426" spans="1:52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42"/>
      <c r="AW426" s="242"/>
      <c r="AX426" s="242"/>
      <c r="AY426" s="27"/>
      <c r="AZ426" s="27"/>
    </row>
    <row r="427" spans="1:52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42"/>
      <c r="AW427" s="242"/>
      <c r="AX427" s="242"/>
      <c r="AY427" s="27"/>
      <c r="AZ427" s="27"/>
    </row>
    <row r="428" spans="1:52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42"/>
      <c r="AW428" s="242"/>
      <c r="AX428" s="242"/>
      <c r="AY428" s="27"/>
      <c r="AZ428" s="27"/>
    </row>
    <row r="429" spans="1:52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42"/>
      <c r="AW429" s="242"/>
      <c r="AX429" s="242"/>
      <c r="AY429" s="27"/>
      <c r="AZ429" s="27"/>
    </row>
    <row r="430" spans="1:52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42"/>
      <c r="AW430" s="242"/>
      <c r="AX430" s="242"/>
      <c r="AY430" s="27"/>
      <c r="AZ430" s="27"/>
    </row>
    <row r="431" spans="1:52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42"/>
      <c r="AW431" s="242"/>
      <c r="AX431" s="242"/>
      <c r="AY431" s="27"/>
      <c r="AZ431" s="27"/>
    </row>
    <row r="432" spans="1:52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42"/>
      <c r="AW432" s="242"/>
      <c r="AX432" s="242"/>
      <c r="AY432" s="27"/>
      <c r="AZ432" s="27"/>
    </row>
    <row r="433" spans="1:52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42"/>
      <c r="AW433" s="242"/>
      <c r="AX433" s="242"/>
      <c r="AY433" s="27"/>
      <c r="AZ433" s="27"/>
    </row>
    <row r="434" spans="1:52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42"/>
      <c r="AW434" s="242"/>
      <c r="AX434" s="242"/>
      <c r="AY434" s="27"/>
      <c r="AZ434" s="27"/>
    </row>
    <row r="435" spans="1:52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42"/>
      <c r="AW435" s="242"/>
      <c r="AX435" s="242"/>
      <c r="AY435" s="27"/>
      <c r="AZ435" s="27"/>
    </row>
    <row r="436" spans="1:52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42"/>
      <c r="AW436" s="242"/>
      <c r="AX436" s="242"/>
      <c r="AY436" s="27"/>
      <c r="AZ436" s="27"/>
    </row>
    <row r="437" spans="1:52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42"/>
      <c r="AW437" s="242"/>
      <c r="AX437" s="242"/>
      <c r="AY437" s="27"/>
      <c r="AZ437" s="27"/>
    </row>
    <row r="438" spans="1:52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42"/>
      <c r="AW438" s="242"/>
      <c r="AX438" s="242"/>
      <c r="AY438" s="27"/>
      <c r="AZ438" s="27"/>
    </row>
    <row r="439" spans="1:52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42"/>
      <c r="AW439" s="242"/>
      <c r="AX439" s="242"/>
      <c r="AY439" s="27"/>
      <c r="AZ439" s="27"/>
    </row>
    <row r="440" spans="1:52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42"/>
      <c r="AW440" s="242"/>
      <c r="AX440" s="242"/>
      <c r="AY440" s="27"/>
      <c r="AZ440" s="27"/>
    </row>
    <row r="441" spans="1:52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42"/>
      <c r="AW441" s="242"/>
      <c r="AX441" s="242"/>
      <c r="AY441" s="27"/>
      <c r="AZ441" s="27"/>
    </row>
    <row r="442" spans="1:52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42"/>
      <c r="AW442" s="242"/>
      <c r="AX442" s="242"/>
      <c r="AY442" s="27"/>
      <c r="AZ442" s="27"/>
    </row>
    <row r="443" spans="1:52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42"/>
      <c r="AW443" s="242"/>
      <c r="AX443" s="242"/>
      <c r="AY443" s="27"/>
      <c r="AZ443" s="27"/>
    </row>
    <row r="444" spans="1:52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42"/>
      <c r="AW444" s="242"/>
      <c r="AX444" s="242"/>
      <c r="AY444" s="27"/>
      <c r="AZ444" s="27"/>
    </row>
    <row r="445" spans="1:52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42"/>
      <c r="AW445" s="242"/>
      <c r="AX445" s="242"/>
      <c r="AY445" s="27"/>
      <c r="AZ445" s="27"/>
    </row>
    <row r="446" spans="1:52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42"/>
      <c r="AW446" s="242"/>
      <c r="AX446" s="242"/>
      <c r="AY446" s="27"/>
      <c r="AZ446" s="27"/>
    </row>
    <row r="447" spans="1:52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42"/>
      <c r="AW447" s="242"/>
      <c r="AX447" s="242"/>
      <c r="AY447" s="27"/>
      <c r="AZ447" s="27"/>
    </row>
    <row r="448" spans="1:52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42"/>
      <c r="AW448" s="242"/>
      <c r="AX448" s="242"/>
      <c r="AY448" s="27"/>
      <c r="AZ448" s="27"/>
    </row>
    <row r="449" spans="1:52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42"/>
      <c r="AW449" s="242"/>
      <c r="AX449" s="242"/>
      <c r="AY449" s="27"/>
      <c r="AZ449" s="27"/>
    </row>
    <row r="450" spans="1:52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42"/>
      <c r="AW450" s="242"/>
      <c r="AX450" s="242"/>
      <c r="AY450" s="27"/>
      <c r="AZ450" s="27"/>
    </row>
    <row r="451" spans="1:52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42"/>
      <c r="AW451" s="242"/>
      <c r="AX451" s="242"/>
      <c r="AY451" s="27"/>
      <c r="AZ451" s="27"/>
    </row>
    <row r="452" spans="1:52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42"/>
      <c r="AW452" s="242"/>
      <c r="AX452" s="242"/>
      <c r="AY452" s="27"/>
      <c r="AZ452" s="27"/>
    </row>
    <row r="453" spans="1:52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42"/>
      <c r="AW453" s="242"/>
      <c r="AX453" s="242"/>
      <c r="AY453" s="27"/>
      <c r="AZ453" s="27"/>
    </row>
    <row r="454" spans="1:52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42"/>
      <c r="AW454" s="242"/>
      <c r="AX454" s="242"/>
      <c r="AY454" s="27"/>
      <c r="AZ454" s="27"/>
    </row>
    <row r="455" spans="1:52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42"/>
      <c r="AW455" s="242"/>
      <c r="AX455" s="242"/>
      <c r="AY455" s="27"/>
      <c r="AZ455" s="27"/>
    </row>
    <row r="456" spans="1:52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42"/>
      <c r="AW456" s="242"/>
      <c r="AX456" s="242"/>
      <c r="AY456" s="27"/>
      <c r="AZ456" s="27"/>
    </row>
    <row r="457" spans="1:52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42"/>
      <c r="AW457" s="242"/>
      <c r="AX457" s="242"/>
      <c r="AY457" s="27"/>
      <c r="AZ457" s="27"/>
    </row>
    <row r="458" spans="1:52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42"/>
      <c r="AW458" s="242"/>
      <c r="AX458" s="242"/>
      <c r="AY458" s="27"/>
      <c r="AZ458" s="27"/>
    </row>
    <row r="459" spans="1:52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42"/>
      <c r="AW459" s="242"/>
      <c r="AX459" s="242"/>
      <c r="AY459" s="27"/>
      <c r="AZ459" s="27"/>
    </row>
    <row r="460" spans="1:52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42"/>
      <c r="AW460" s="242"/>
      <c r="AX460" s="242"/>
      <c r="AY460" s="27"/>
      <c r="AZ460" s="27"/>
    </row>
    <row r="461" spans="1:52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42"/>
      <c r="AW461" s="242"/>
      <c r="AX461" s="242"/>
      <c r="AY461" s="27"/>
      <c r="AZ461" s="27"/>
    </row>
    <row r="462" spans="1:52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42"/>
      <c r="AW462" s="242"/>
      <c r="AX462" s="242"/>
      <c r="AY462" s="27"/>
      <c r="AZ462" s="27"/>
    </row>
    <row r="463" spans="1:52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42"/>
      <c r="AW463" s="242"/>
      <c r="AX463" s="242"/>
      <c r="AY463" s="27"/>
      <c r="AZ463" s="27"/>
    </row>
    <row r="464" spans="1:52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42"/>
      <c r="AW464" s="242"/>
      <c r="AX464" s="242"/>
      <c r="AY464" s="27"/>
      <c r="AZ464" s="27"/>
    </row>
    <row r="465" spans="1:52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42"/>
      <c r="AW465" s="242"/>
      <c r="AX465" s="242"/>
      <c r="AY465" s="27"/>
      <c r="AZ465" s="27"/>
    </row>
    <row r="466" spans="1:52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42"/>
      <c r="AW466" s="242"/>
      <c r="AX466" s="242"/>
      <c r="AY466" s="27"/>
      <c r="AZ466" s="27"/>
    </row>
    <row r="467" spans="1:52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42"/>
      <c r="AW467" s="242"/>
      <c r="AX467" s="242"/>
      <c r="AY467" s="27"/>
      <c r="AZ467" s="27"/>
    </row>
    <row r="468" spans="1:52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42"/>
      <c r="AW468" s="242"/>
      <c r="AX468" s="242"/>
      <c r="AY468" s="27"/>
      <c r="AZ468" s="27"/>
    </row>
    <row r="469" spans="1:52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42"/>
      <c r="AW469" s="242"/>
      <c r="AX469" s="242"/>
      <c r="AY469" s="27"/>
      <c r="AZ469" s="27"/>
    </row>
    <row r="470" spans="1:52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42"/>
      <c r="AW470" s="242"/>
      <c r="AX470" s="242"/>
      <c r="AY470" s="27"/>
      <c r="AZ470" s="27"/>
    </row>
    <row r="471" spans="1:52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42"/>
      <c r="AW471" s="242"/>
      <c r="AX471" s="242"/>
      <c r="AY471" s="27"/>
      <c r="AZ471" s="27"/>
    </row>
    <row r="472" spans="1:52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42"/>
      <c r="AW472" s="242"/>
      <c r="AX472" s="242"/>
      <c r="AY472" s="27"/>
      <c r="AZ472" s="27"/>
    </row>
    <row r="473" spans="1:52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42"/>
      <c r="AW473" s="242"/>
      <c r="AX473" s="242"/>
      <c r="AY473" s="27"/>
      <c r="AZ473" s="27"/>
    </row>
    <row r="474" spans="1:52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42"/>
      <c r="AW474" s="242"/>
      <c r="AX474" s="242"/>
      <c r="AY474" s="27"/>
      <c r="AZ474" s="27"/>
    </row>
    <row r="475" spans="1:52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42"/>
      <c r="AW475" s="242"/>
      <c r="AX475" s="242"/>
      <c r="AY475" s="27"/>
      <c r="AZ475" s="27"/>
    </row>
    <row r="476" spans="1:52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42"/>
      <c r="AW476" s="242"/>
      <c r="AX476" s="242"/>
      <c r="AY476" s="27"/>
      <c r="AZ476" s="27"/>
    </row>
    <row r="477" spans="1:52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42"/>
      <c r="AW477" s="242"/>
      <c r="AX477" s="242"/>
      <c r="AY477" s="27"/>
      <c r="AZ477" s="27"/>
    </row>
    <row r="478" spans="1:52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42"/>
      <c r="AW478" s="242"/>
      <c r="AX478" s="242"/>
      <c r="AY478" s="27"/>
      <c r="AZ478" s="27"/>
    </row>
    <row r="479" spans="1:52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42"/>
      <c r="AW479" s="242"/>
      <c r="AX479" s="242"/>
      <c r="AY479" s="27"/>
      <c r="AZ479" s="27"/>
    </row>
    <row r="480" spans="1:52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42"/>
      <c r="AW480" s="242"/>
      <c r="AX480" s="242"/>
      <c r="AY480" s="27"/>
      <c r="AZ480" s="27"/>
    </row>
    <row r="481" spans="1:52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42"/>
      <c r="AW481" s="242"/>
      <c r="AX481" s="242"/>
      <c r="AY481" s="27"/>
      <c r="AZ481" s="27"/>
    </row>
    <row r="482" spans="1:52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42"/>
      <c r="AW482" s="242"/>
      <c r="AX482" s="242"/>
      <c r="AY482" s="27"/>
      <c r="AZ482" s="27"/>
    </row>
    <row r="483" spans="1:52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42"/>
      <c r="AW483" s="242"/>
      <c r="AX483" s="242"/>
      <c r="AY483" s="27"/>
      <c r="AZ483" s="27"/>
    </row>
    <row r="484" spans="1:52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42"/>
      <c r="AW484" s="242"/>
      <c r="AX484" s="242"/>
      <c r="AY484" s="27"/>
      <c r="AZ484" s="27"/>
    </row>
    <row r="485" spans="1:52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42"/>
      <c r="AW485" s="242"/>
      <c r="AX485" s="242"/>
      <c r="AY485" s="27"/>
      <c r="AZ485" s="27"/>
    </row>
    <row r="486" spans="1:52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42"/>
      <c r="AW486" s="242"/>
      <c r="AX486" s="242"/>
      <c r="AY486" s="27"/>
      <c r="AZ486" s="27"/>
    </row>
    <row r="487" spans="1:52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42"/>
      <c r="AW487" s="242"/>
      <c r="AX487" s="242"/>
      <c r="AY487" s="27"/>
      <c r="AZ487" s="27"/>
    </row>
    <row r="488" spans="1:52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42"/>
      <c r="AW488" s="242"/>
      <c r="AX488" s="242"/>
      <c r="AY488" s="27"/>
      <c r="AZ488" s="27"/>
    </row>
    <row r="489" spans="1:52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42"/>
      <c r="AW489" s="242"/>
      <c r="AX489" s="242"/>
      <c r="AY489" s="27"/>
      <c r="AZ489" s="27"/>
    </row>
    <row r="490" spans="1:52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42"/>
      <c r="AW490" s="242"/>
      <c r="AX490" s="242"/>
      <c r="AY490" s="27"/>
      <c r="AZ490" s="27"/>
    </row>
    <row r="491" spans="1:52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42"/>
      <c r="AW491" s="242"/>
      <c r="AX491" s="242"/>
      <c r="AY491" s="27"/>
      <c r="AZ491" s="27"/>
    </row>
    <row r="492" spans="1:52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42"/>
      <c r="AW492" s="242"/>
      <c r="AX492" s="242"/>
      <c r="AY492" s="27"/>
      <c r="AZ492" s="27"/>
    </row>
    <row r="493" spans="1:52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42"/>
      <c r="AW493" s="242"/>
      <c r="AX493" s="242"/>
      <c r="AY493" s="27"/>
      <c r="AZ493" s="27"/>
    </row>
    <row r="494" spans="1:52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42"/>
      <c r="AW494" s="242"/>
      <c r="AX494" s="242"/>
      <c r="AY494" s="27"/>
      <c r="AZ494" s="27"/>
    </row>
    <row r="495" spans="1:52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42"/>
      <c r="AW495" s="242"/>
      <c r="AX495" s="242"/>
      <c r="AY495" s="27"/>
      <c r="AZ495" s="27"/>
    </row>
    <row r="496" spans="1:52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42"/>
      <c r="AW496" s="242"/>
      <c r="AX496" s="242"/>
      <c r="AY496" s="27"/>
      <c r="AZ496" s="27"/>
    </row>
    <row r="497" spans="1:52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42"/>
      <c r="AW497" s="242"/>
      <c r="AX497" s="242"/>
      <c r="AY497" s="27"/>
      <c r="AZ497" s="27"/>
    </row>
    <row r="498" spans="1:52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42"/>
      <c r="AW498" s="242"/>
      <c r="AX498" s="242"/>
      <c r="AY498" s="27"/>
      <c r="AZ498" s="27"/>
    </row>
    <row r="499" spans="1:52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42"/>
      <c r="AW499" s="242"/>
      <c r="AX499" s="242"/>
      <c r="AY499" s="27"/>
      <c r="AZ499" s="27"/>
    </row>
    <row r="500" spans="1:52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42"/>
      <c r="AW500" s="242"/>
      <c r="AX500" s="242"/>
      <c r="AY500" s="27"/>
      <c r="AZ500" s="27"/>
    </row>
    <row r="501" spans="1:52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42"/>
      <c r="AW501" s="242"/>
      <c r="AX501" s="242"/>
      <c r="AY501" s="27"/>
      <c r="AZ501" s="27"/>
    </row>
    <row r="502" spans="1:52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42"/>
      <c r="AW502" s="242"/>
      <c r="AX502" s="242"/>
      <c r="AY502" s="27"/>
      <c r="AZ502" s="27"/>
    </row>
    <row r="503" spans="1:52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42"/>
      <c r="AW503" s="242"/>
      <c r="AX503" s="242"/>
      <c r="AY503" s="27"/>
      <c r="AZ503" s="27"/>
    </row>
    <row r="504" spans="1:52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42"/>
      <c r="AW504" s="242"/>
      <c r="AX504" s="242"/>
      <c r="AY504" s="27"/>
      <c r="AZ504" s="27"/>
    </row>
    <row r="505" spans="1:52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42"/>
      <c r="AW505" s="242"/>
      <c r="AX505" s="242"/>
      <c r="AY505" s="27"/>
      <c r="AZ505" s="27"/>
    </row>
    <row r="506" spans="1:52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42"/>
      <c r="AW506" s="242"/>
      <c r="AX506" s="242"/>
      <c r="AY506" s="27"/>
      <c r="AZ506" s="27"/>
    </row>
    <row r="507" spans="1:52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42"/>
      <c r="AW507" s="242"/>
      <c r="AX507" s="242"/>
      <c r="AY507" s="27"/>
      <c r="AZ507" s="27"/>
    </row>
    <row r="508" spans="1:52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42"/>
      <c r="AW508" s="242"/>
      <c r="AX508" s="242"/>
      <c r="AY508" s="27"/>
      <c r="AZ508" s="27"/>
    </row>
    <row r="509" spans="1:52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42"/>
      <c r="AW509" s="242"/>
      <c r="AX509" s="242"/>
      <c r="AY509" s="27"/>
      <c r="AZ509" s="27"/>
    </row>
    <row r="510" spans="1:52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42"/>
      <c r="AW510" s="242"/>
      <c r="AX510" s="242"/>
      <c r="AY510" s="27"/>
      <c r="AZ510" s="27"/>
    </row>
    <row r="511" spans="1:52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42"/>
      <c r="AW511" s="242"/>
      <c r="AX511" s="242"/>
      <c r="AY511" s="27"/>
      <c r="AZ511" s="27"/>
    </row>
    <row r="512" spans="1:52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42"/>
      <c r="AW512" s="242"/>
      <c r="AX512" s="242"/>
      <c r="AY512" s="27"/>
      <c r="AZ512" s="27"/>
    </row>
    <row r="513" spans="1:52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42"/>
      <c r="AW513" s="242"/>
      <c r="AX513" s="242"/>
      <c r="AY513" s="27"/>
      <c r="AZ513" s="27"/>
    </row>
    <row r="514" spans="1:52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42"/>
      <c r="AW514" s="242"/>
      <c r="AX514" s="242"/>
      <c r="AY514" s="27"/>
      <c r="AZ514" s="27"/>
    </row>
    <row r="515" spans="1:52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42"/>
      <c r="AW515" s="242"/>
      <c r="AX515" s="242"/>
      <c r="AY515" s="27"/>
      <c r="AZ515" s="27"/>
    </row>
    <row r="516" spans="1:52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42"/>
      <c r="AW516" s="242"/>
      <c r="AX516" s="242"/>
      <c r="AY516" s="27"/>
      <c r="AZ516" s="27"/>
    </row>
    <row r="517" spans="1:52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42"/>
      <c r="AW517" s="242"/>
      <c r="AX517" s="242"/>
      <c r="AY517" s="27"/>
      <c r="AZ517" s="27"/>
    </row>
    <row r="518" spans="1:52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42"/>
      <c r="AW518" s="242"/>
      <c r="AX518" s="242"/>
      <c r="AY518" s="27"/>
      <c r="AZ518" s="27"/>
    </row>
    <row r="519" spans="1:52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42"/>
      <c r="AW519" s="242"/>
      <c r="AX519" s="242"/>
      <c r="AY519" s="27"/>
      <c r="AZ519" s="27"/>
    </row>
    <row r="520" spans="1:52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42"/>
      <c r="AW520" s="242"/>
      <c r="AX520" s="242"/>
      <c r="AY520" s="27"/>
      <c r="AZ520" s="27"/>
    </row>
    <row r="521" spans="1:52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42"/>
      <c r="AW521" s="242"/>
      <c r="AX521" s="242"/>
      <c r="AY521" s="27"/>
      <c r="AZ521" s="27"/>
    </row>
    <row r="522" spans="1:52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42"/>
      <c r="AW522" s="242"/>
      <c r="AX522" s="242"/>
      <c r="AY522" s="27"/>
      <c r="AZ522" s="27"/>
    </row>
    <row r="523" spans="1:52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42"/>
      <c r="AW523" s="242"/>
      <c r="AX523" s="242"/>
      <c r="AY523" s="27"/>
      <c r="AZ523" s="27"/>
    </row>
    <row r="524" spans="1:52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42"/>
      <c r="AW524" s="242"/>
      <c r="AX524" s="242"/>
      <c r="AY524" s="27"/>
      <c r="AZ524" s="27"/>
    </row>
    <row r="525" spans="1:52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42"/>
      <c r="AW525" s="242"/>
      <c r="AX525" s="242"/>
      <c r="AY525" s="27"/>
      <c r="AZ525" s="27"/>
    </row>
    <row r="526" spans="1:52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42"/>
      <c r="AW526" s="242"/>
      <c r="AX526" s="242"/>
      <c r="AY526" s="27"/>
      <c r="AZ526" s="27"/>
    </row>
    <row r="527" spans="1:52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42"/>
      <c r="AW527" s="242"/>
      <c r="AX527" s="242"/>
      <c r="AY527" s="27"/>
      <c r="AZ527" s="27"/>
    </row>
    <row r="528" spans="1:52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42"/>
      <c r="AW528" s="242"/>
      <c r="AX528" s="242"/>
      <c r="AY528" s="27"/>
      <c r="AZ528" s="27"/>
    </row>
    <row r="529" spans="1:52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42"/>
      <c r="AW529" s="242"/>
      <c r="AX529" s="242"/>
      <c r="AY529" s="27"/>
      <c r="AZ529" s="27"/>
    </row>
    <row r="530" spans="1:52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42"/>
      <c r="AW530" s="242"/>
      <c r="AX530" s="242"/>
      <c r="AY530" s="27"/>
      <c r="AZ530" s="27"/>
    </row>
    <row r="531" spans="1:52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42"/>
      <c r="AW531" s="242"/>
      <c r="AX531" s="242"/>
      <c r="AY531" s="27"/>
      <c r="AZ531" s="27"/>
    </row>
    <row r="532" spans="1:52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42"/>
      <c r="AW532" s="242"/>
      <c r="AX532" s="242"/>
      <c r="AY532" s="27"/>
      <c r="AZ532" s="27"/>
    </row>
    <row r="533" spans="1:52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42"/>
      <c r="AW533" s="242"/>
      <c r="AX533" s="242"/>
      <c r="AY533" s="27"/>
      <c r="AZ533" s="27"/>
    </row>
    <row r="534" spans="1:52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42"/>
      <c r="AW534" s="242"/>
      <c r="AX534" s="242"/>
      <c r="AY534" s="27"/>
      <c r="AZ534" s="27"/>
    </row>
    <row r="535" spans="1:52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42"/>
      <c r="AW535" s="242"/>
      <c r="AX535" s="242"/>
      <c r="AY535" s="27"/>
      <c r="AZ535" s="27"/>
    </row>
    <row r="536" spans="1:52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42"/>
      <c r="AW536" s="242"/>
      <c r="AX536" s="242"/>
      <c r="AY536" s="27"/>
      <c r="AZ536" s="27"/>
    </row>
    <row r="537" spans="1:52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42"/>
      <c r="AW537" s="242"/>
      <c r="AX537" s="242"/>
      <c r="AY537" s="27"/>
      <c r="AZ537" s="27"/>
    </row>
    <row r="538" spans="1:52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42"/>
      <c r="AW538" s="242"/>
      <c r="AX538" s="242"/>
      <c r="AY538" s="27"/>
      <c r="AZ538" s="27"/>
    </row>
    <row r="539" spans="1:52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42"/>
      <c r="AW539" s="242"/>
      <c r="AX539" s="242"/>
      <c r="AY539" s="27"/>
      <c r="AZ539" s="27"/>
    </row>
    <row r="540" spans="1:52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42"/>
      <c r="AW540" s="242"/>
      <c r="AX540" s="242"/>
      <c r="AY540" s="27"/>
      <c r="AZ540" s="27"/>
    </row>
    <row r="541" spans="1:52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42"/>
      <c r="AW541" s="242"/>
      <c r="AX541" s="242"/>
      <c r="AY541" s="27"/>
      <c r="AZ541" s="27"/>
    </row>
    <row r="542" spans="1:52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42"/>
      <c r="AW542" s="242"/>
      <c r="AX542" s="242"/>
      <c r="AY542" s="27"/>
      <c r="AZ542" s="27"/>
    </row>
    <row r="543" spans="1:52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42"/>
      <c r="AW543" s="242"/>
      <c r="AX543" s="242"/>
      <c r="AY543" s="27"/>
      <c r="AZ543" s="27"/>
    </row>
    <row r="544" spans="1:52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42"/>
      <c r="AW544" s="242"/>
      <c r="AX544" s="242"/>
      <c r="AY544" s="27"/>
      <c r="AZ544" s="27"/>
    </row>
    <row r="545" spans="1:52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42"/>
      <c r="AW545" s="242"/>
      <c r="AX545" s="242"/>
      <c r="AY545" s="27"/>
      <c r="AZ545" s="27"/>
    </row>
    <row r="546" spans="1:52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42"/>
      <c r="AW546" s="242"/>
      <c r="AX546" s="242"/>
      <c r="AY546" s="27"/>
      <c r="AZ546" s="27"/>
    </row>
    <row r="547" spans="1:52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42"/>
      <c r="AW547" s="242"/>
      <c r="AX547" s="242"/>
      <c r="AY547" s="27"/>
      <c r="AZ547" s="27"/>
    </row>
    <row r="548" spans="1:52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42"/>
      <c r="AW548" s="242"/>
      <c r="AX548" s="242"/>
      <c r="AY548" s="27"/>
      <c r="AZ548" s="27"/>
    </row>
    <row r="549" spans="1:52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42"/>
      <c r="AW549" s="242"/>
      <c r="AX549" s="242"/>
      <c r="AY549" s="27"/>
      <c r="AZ549" s="27"/>
    </row>
    <row r="550" spans="1:52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42"/>
      <c r="AW550" s="242"/>
      <c r="AX550" s="242"/>
      <c r="AY550" s="27"/>
      <c r="AZ550" s="27"/>
    </row>
    <row r="551" spans="1:52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42"/>
      <c r="AW551" s="242"/>
      <c r="AX551" s="242"/>
      <c r="AY551" s="27"/>
      <c r="AZ551" s="27"/>
    </row>
    <row r="552" spans="1:52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42"/>
      <c r="AW552" s="242"/>
      <c r="AX552" s="242"/>
      <c r="AY552" s="27"/>
      <c r="AZ552" s="27"/>
    </row>
    <row r="553" spans="1:52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42"/>
      <c r="AW553" s="242"/>
      <c r="AX553" s="242"/>
      <c r="AY553" s="27"/>
      <c r="AZ553" s="27"/>
    </row>
    <row r="554" spans="1:52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42"/>
      <c r="AW554" s="242"/>
      <c r="AX554" s="242"/>
      <c r="AY554" s="27"/>
      <c r="AZ554" s="27"/>
    </row>
    <row r="555" spans="1:52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42"/>
      <c r="AW555" s="242"/>
      <c r="AX555" s="242"/>
      <c r="AY555" s="27"/>
      <c r="AZ555" s="27"/>
    </row>
    <row r="556" spans="1:52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42"/>
      <c r="AW556" s="242"/>
      <c r="AX556" s="242"/>
      <c r="AY556" s="27"/>
      <c r="AZ556" s="27"/>
    </row>
    <row r="557" spans="1:52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42"/>
      <c r="AW557" s="242"/>
      <c r="AX557" s="242"/>
      <c r="AY557" s="27"/>
      <c r="AZ557" s="27"/>
    </row>
    <row r="558" spans="1:52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42"/>
      <c r="AW558" s="242"/>
      <c r="AX558" s="242"/>
      <c r="AY558" s="27"/>
      <c r="AZ558" s="27"/>
    </row>
    <row r="559" spans="1:52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42"/>
      <c r="AW559" s="242"/>
      <c r="AX559" s="242"/>
      <c r="AY559" s="27"/>
      <c r="AZ559" s="27"/>
    </row>
    <row r="560" spans="1:52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42"/>
      <c r="AW560" s="242"/>
      <c r="AX560" s="242"/>
      <c r="AY560" s="27"/>
      <c r="AZ560" s="27"/>
    </row>
    <row r="561" spans="1:52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42"/>
      <c r="AW561" s="242"/>
      <c r="AX561" s="242"/>
      <c r="AY561" s="27"/>
      <c r="AZ561" s="27"/>
    </row>
    <row r="562" spans="1:52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42"/>
      <c r="AW562" s="242"/>
      <c r="AX562" s="242"/>
      <c r="AY562" s="27"/>
      <c r="AZ562" s="27"/>
    </row>
    <row r="563" spans="1:52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42"/>
      <c r="AW563" s="242"/>
      <c r="AX563" s="242"/>
      <c r="AY563" s="27"/>
      <c r="AZ563" s="27"/>
    </row>
    <row r="564" spans="1:52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42"/>
      <c r="AW564" s="242"/>
      <c r="AX564" s="242"/>
      <c r="AY564" s="27"/>
      <c r="AZ564" s="27"/>
    </row>
    <row r="565" spans="1:52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42"/>
      <c r="AW565" s="242"/>
      <c r="AX565" s="242"/>
      <c r="AY565" s="27"/>
      <c r="AZ565" s="27"/>
    </row>
    <row r="566" spans="1:52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42"/>
      <c r="AW566" s="242"/>
      <c r="AX566" s="242"/>
      <c r="AY566" s="27"/>
      <c r="AZ566" s="27"/>
    </row>
    <row r="567" spans="1:52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42"/>
      <c r="AW567" s="242"/>
      <c r="AX567" s="242"/>
      <c r="AY567" s="27"/>
      <c r="AZ567" s="27"/>
    </row>
    <row r="568" spans="1:52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42"/>
      <c r="AW568" s="242"/>
      <c r="AX568" s="242"/>
      <c r="AY568" s="27"/>
      <c r="AZ568" s="27"/>
    </row>
    <row r="569" spans="1:52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42"/>
      <c r="AW569" s="242"/>
      <c r="AX569" s="242"/>
      <c r="AY569" s="27"/>
      <c r="AZ569" s="27"/>
    </row>
    <row r="570" spans="1:52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42"/>
      <c r="AW570" s="242"/>
      <c r="AX570" s="242"/>
      <c r="AY570" s="27"/>
      <c r="AZ570" s="27"/>
    </row>
    <row r="571" spans="1:52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42"/>
      <c r="AW571" s="242"/>
      <c r="AX571" s="242"/>
      <c r="AY571" s="27"/>
      <c r="AZ571" s="27"/>
    </row>
    <row r="572" spans="1:52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42"/>
      <c r="AW572" s="242"/>
      <c r="AX572" s="242"/>
      <c r="AY572" s="27"/>
      <c r="AZ572" s="27"/>
    </row>
    <row r="573" spans="1:52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42"/>
      <c r="AW573" s="242"/>
      <c r="AX573" s="242"/>
      <c r="AY573" s="27"/>
      <c r="AZ573" s="27"/>
    </row>
    <row r="574" spans="1:52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42"/>
      <c r="AW574" s="242"/>
      <c r="AX574" s="242"/>
      <c r="AY574" s="27"/>
      <c r="AZ574" s="27"/>
    </row>
    <row r="575" spans="1:52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42"/>
      <c r="AW575" s="242"/>
      <c r="AX575" s="242"/>
      <c r="AY575" s="27"/>
      <c r="AZ575" s="27"/>
    </row>
    <row r="576" spans="1:52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42"/>
      <c r="AW576" s="242"/>
      <c r="AX576" s="242"/>
      <c r="AY576" s="27"/>
      <c r="AZ576" s="27"/>
    </row>
    <row r="577" spans="1:52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42"/>
      <c r="AW577" s="242"/>
      <c r="AX577" s="242"/>
      <c r="AY577" s="27"/>
      <c r="AZ577" s="27"/>
    </row>
    <row r="578" spans="1:52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42"/>
      <c r="AW578" s="242"/>
      <c r="AX578" s="242"/>
      <c r="AY578" s="27"/>
      <c r="AZ578" s="27"/>
    </row>
    <row r="579" spans="1:52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42"/>
      <c r="AW579" s="242"/>
      <c r="AX579" s="242"/>
      <c r="AY579" s="27"/>
      <c r="AZ579" s="27"/>
    </row>
    <row r="580" spans="1:52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42"/>
      <c r="AW580" s="242"/>
      <c r="AX580" s="242"/>
      <c r="AY580" s="27"/>
      <c r="AZ580" s="27"/>
    </row>
    <row r="581" spans="1:52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42"/>
      <c r="AW581" s="242"/>
      <c r="AX581" s="242"/>
      <c r="AY581" s="27"/>
      <c r="AZ581" s="27"/>
    </row>
    <row r="582" spans="1:52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42"/>
      <c r="AW582" s="242"/>
      <c r="AX582" s="242"/>
      <c r="AY582" s="27"/>
      <c r="AZ582" s="27"/>
    </row>
    <row r="583" spans="1:52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42"/>
      <c r="AW583" s="242"/>
      <c r="AX583" s="242"/>
      <c r="AY583" s="27"/>
      <c r="AZ583" s="27"/>
    </row>
    <row r="584" spans="1:52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42"/>
      <c r="AW584" s="242"/>
      <c r="AX584" s="242"/>
      <c r="AY584" s="27"/>
      <c r="AZ584" s="27"/>
    </row>
    <row r="585" spans="1:52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42"/>
      <c r="AW585" s="242"/>
      <c r="AX585" s="242"/>
      <c r="AY585" s="27"/>
      <c r="AZ585" s="27"/>
    </row>
    <row r="586" spans="1:52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42"/>
      <c r="AW586" s="242"/>
      <c r="AX586" s="242"/>
      <c r="AY586" s="27"/>
      <c r="AZ586" s="27"/>
    </row>
    <row r="587" spans="1:52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42"/>
      <c r="AW587" s="242"/>
      <c r="AX587" s="242"/>
      <c r="AY587" s="27"/>
      <c r="AZ587" s="27"/>
    </row>
    <row r="588" spans="1:52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42"/>
      <c r="AW588" s="242"/>
      <c r="AX588" s="242"/>
      <c r="AY588" s="27"/>
      <c r="AZ588" s="27"/>
    </row>
    <row r="589" spans="1:52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42"/>
      <c r="AW589" s="242"/>
      <c r="AX589" s="242"/>
      <c r="AY589" s="27"/>
      <c r="AZ589" s="27"/>
    </row>
    <row r="590" spans="1:52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42"/>
      <c r="AW590" s="242"/>
      <c r="AX590" s="242"/>
      <c r="AY590" s="27"/>
      <c r="AZ590" s="27"/>
    </row>
    <row r="591" spans="1:52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42"/>
      <c r="AW591" s="242"/>
      <c r="AX591" s="242"/>
      <c r="AY591" s="27"/>
      <c r="AZ591" s="27"/>
    </row>
    <row r="592" spans="1:52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42"/>
      <c r="AW592" s="242"/>
      <c r="AX592" s="242"/>
      <c r="AY592" s="27"/>
      <c r="AZ592" s="27"/>
    </row>
    <row r="593" spans="1:52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42"/>
      <c r="AW593" s="242"/>
      <c r="AX593" s="242"/>
      <c r="AY593" s="27"/>
      <c r="AZ593" s="27"/>
    </row>
    <row r="594" spans="1:52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42"/>
      <c r="AW594" s="242"/>
      <c r="AX594" s="242"/>
      <c r="AY594" s="27"/>
      <c r="AZ594" s="27"/>
    </row>
    <row r="595" spans="1:52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42"/>
      <c r="AW595" s="242"/>
      <c r="AX595" s="242"/>
      <c r="AY595" s="27"/>
      <c r="AZ595" s="27"/>
    </row>
    <row r="596" spans="1:52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42"/>
      <c r="AW596" s="242"/>
      <c r="AX596" s="242"/>
      <c r="AY596" s="27"/>
      <c r="AZ596" s="27"/>
    </row>
    <row r="597" spans="1:5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42"/>
      <c r="AW597" s="242"/>
      <c r="AX597" s="242"/>
      <c r="AY597" s="27"/>
      <c r="AZ597" s="27"/>
    </row>
    <row r="598" spans="1:52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42"/>
      <c r="AW598" s="242"/>
      <c r="AX598" s="242"/>
      <c r="AY598" s="27"/>
      <c r="AZ598" s="27"/>
    </row>
    <row r="599" spans="1:52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42"/>
      <c r="AW599" s="242"/>
      <c r="AX599" s="242"/>
      <c r="AY599" s="27"/>
      <c r="AZ599" s="27"/>
    </row>
    <row r="600" spans="1:52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42"/>
      <c r="AW600" s="242"/>
      <c r="AX600" s="242"/>
      <c r="AY600" s="27"/>
      <c r="AZ600" s="27"/>
    </row>
    <row r="601" spans="1:52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42"/>
      <c r="AW601" s="242"/>
      <c r="AX601" s="242"/>
      <c r="AY601" s="27"/>
      <c r="AZ601" s="27"/>
    </row>
    <row r="602" spans="1:5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42"/>
      <c r="AW602" s="242"/>
      <c r="AX602" s="242"/>
      <c r="AY602" s="27"/>
      <c r="AZ602" s="27"/>
    </row>
    <row r="603" spans="1:5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42"/>
      <c r="AW603" s="242"/>
      <c r="AX603" s="242"/>
      <c r="AY603" s="27"/>
      <c r="AZ603" s="27"/>
    </row>
    <row r="604" spans="1:5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42"/>
      <c r="AW604" s="242"/>
      <c r="AX604" s="242"/>
      <c r="AY604" s="27"/>
      <c r="AZ604" s="27"/>
    </row>
    <row r="605" spans="1:52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42"/>
      <c r="AW605" s="242"/>
      <c r="AX605" s="242"/>
      <c r="AY605" s="27"/>
      <c r="AZ605" s="27"/>
    </row>
    <row r="606" spans="1:52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42"/>
      <c r="AW606" s="242"/>
      <c r="AX606" s="242"/>
      <c r="AY606" s="27"/>
      <c r="AZ606" s="27"/>
    </row>
    <row r="607" spans="1:52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42"/>
      <c r="AW607" s="242"/>
      <c r="AX607" s="242"/>
      <c r="AY607" s="27"/>
      <c r="AZ607" s="27"/>
    </row>
    <row r="608" spans="1:52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42"/>
      <c r="AW608" s="242"/>
      <c r="AX608" s="242"/>
      <c r="AY608" s="27"/>
      <c r="AZ608" s="27"/>
    </row>
    <row r="609" spans="1:52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42"/>
      <c r="AW609" s="242"/>
      <c r="AX609" s="242"/>
      <c r="AY609" s="27"/>
      <c r="AZ609" s="27"/>
    </row>
    <row r="610" spans="1:52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42"/>
      <c r="AW610" s="242"/>
      <c r="AX610" s="242"/>
      <c r="AY610" s="27"/>
      <c r="AZ610" s="27"/>
    </row>
    <row r="611" spans="1:52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42"/>
      <c r="AW611" s="242"/>
      <c r="AX611" s="242"/>
      <c r="AY611" s="27"/>
      <c r="AZ611" s="27"/>
    </row>
    <row r="612" spans="1:52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42"/>
      <c r="AW612" s="242"/>
      <c r="AX612" s="242"/>
      <c r="AY612" s="27"/>
      <c r="AZ612" s="27"/>
    </row>
    <row r="613" spans="1:5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42"/>
      <c r="AW613" s="242"/>
      <c r="AX613" s="242"/>
      <c r="AY613" s="27"/>
      <c r="AZ613" s="27"/>
    </row>
    <row r="614" spans="1:5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42"/>
      <c r="AW614" s="242"/>
      <c r="AX614" s="242"/>
      <c r="AY614" s="27"/>
      <c r="AZ614" s="27"/>
    </row>
    <row r="615" spans="1:5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42"/>
      <c r="AW615" s="242"/>
      <c r="AX615" s="242"/>
      <c r="AY615" s="27"/>
      <c r="AZ615" s="27"/>
    </row>
    <row r="616" spans="1:52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42"/>
      <c r="AW616" s="242"/>
      <c r="AX616" s="242"/>
      <c r="AY616" s="27"/>
      <c r="AZ616" s="27"/>
    </row>
    <row r="617" spans="1:52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42"/>
      <c r="AW617" s="242"/>
      <c r="AX617" s="242"/>
      <c r="AY617" s="27"/>
      <c r="AZ617" s="27"/>
    </row>
    <row r="618" spans="1:52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42"/>
      <c r="AW618" s="242"/>
      <c r="AX618" s="242"/>
      <c r="AY618" s="27"/>
      <c r="AZ618" s="27"/>
    </row>
    <row r="619" spans="1:52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42"/>
      <c r="AW619" s="242"/>
      <c r="AX619" s="242"/>
      <c r="AY619" s="27"/>
      <c r="AZ619" s="27"/>
    </row>
    <row r="620" spans="1:52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42"/>
      <c r="AW620" s="242"/>
      <c r="AX620" s="242"/>
      <c r="AY620" s="27"/>
      <c r="AZ620" s="27"/>
    </row>
    <row r="621" spans="1:52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42"/>
      <c r="AW621" s="242"/>
      <c r="AX621" s="242"/>
      <c r="AY621" s="27"/>
      <c r="AZ621" s="27"/>
    </row>
    <row r="622" spans="1:5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42"/>
      <c r="AW622" s="242"/>
      <c r="AX622" s="242"/>
      <c r="AY622" s="27"/>
      <c r="AZ622" s="27"/>
    </row>
    <row r="623" spans="1:5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42"/>
      <c r="AW623" s="242"/>
      <c r="AX623" s="242"/>
      <c r="AY623" s="27"/>
      <c r="AZ623" s="27"/>
    </row>
    <row r="624" spans="1:5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42"/>
      <c r="AW624" s="242"/>
      <c r="AX624" s="242"/>
      <c r="AY624" s="27"/>
      <c r="AZ624" s="27"/>
    </row>
    <row r="625" spans="1:5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42"/>
      <c r="AW625" s="242"/>
      <c r="AX625" s="242"/>
      <c r="AY625" s="27"/>
      <c r="AZ625" s="27"/>
    </row>
    <row r="626" spans="1:5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42"/>
      <c r="AW626" s="242"/>
      <c r="AX626" s="242"/>
      <c r="AY626" s="27"/>
      <c r="AZ626" s="27"/>
    </row>
    <row r="627" spans="1:5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42"/>
      <c r="AW627" s="242"/>
      <c r="AX627" s="242"/>
      <c r="AY627" s="27"/>
      <c r="AZ627" s="27"/>
    </row>
    <row r="628" spans="1:52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42"/>
      <c r="AW628" s="242"/>
      <c r="AX628" s="242"/>
      <c r="AY628" s="27"/>
      <c r="AZ628" s="27"/>
    </row>
    <row r="629" spans="1:52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42"/>
      <c r="AW629" s="242"/>
      <c r="AX629" s="242"/>
      <c r="AY629" s="27"/>
      <c r="AZ629" s="27"/>
    </row>
    <row r="630" spans="1:52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42"/>
      <c r="AW630" s="242"/>
      <c r="AX630" s="242"/>
      <c r="AY630" s="27"/>
      <c r="AZ630" s="27"/>
    </row>
    <row r="631" spans="1:5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42"/>
      <c r="AW631" s="242"/>
      <c r="AX631" s="242"/>
      <c r="AY631" s="27"/>
      <c r="AZ631" s="27"/>
    </row>
    <row r="632" spans="1:52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42"/>
      <c r="AW632" s="242"/>
      <c r="AX632" s="242"/>
      <c r="AY632" s="27"/>
      <c r="AZ632" s="27"/>
    </row>
    <row r="633" spans="1:5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42"/>
      <c r="AW633" s="242"/>
      <c r="AX633" s="242"/>
      <c r="AY633" s="27"/>
      <c r="AZ633" s="27"/>
    </row>
    <row r="634" spans="1:5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42"/>
      <c r="AW634" s="242"/>
      <c r="AX634" s="242"/>
      <c r="AY634" s="27"/>
      <c r="AZ634" s="27"/>
    </row>
    <row r="635" spans="1:5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42"/>
      <c r="AW635" s="242"/>
      <c r="AX635" s="242"/>
      <c r="AY635" s="27"/>
      <c r="AZ635" s="27"/>
    </row>
    <row r="636" spans="1:5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42"/>
      <c r="AW636" s="242"/>
      <c r="AX636" s="242"/>
      <c r="AY636" s="27"/>
      <c r="AZ636" s="27"/>
    </row>
    <row r="637" spans="1:5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42"/>
      <c r="AW637" s="242"/>
      <c r="AX637" s="242"/>
      <c r="AY637" s="27"/>
      <c r="AZ637" s="27"/>
    </row>
    <row r="638" spans="1:5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42"/>
      <c r="AW638" s="242"/>
      <c r="AX638" s="242"/>
      <c r="AY638" s="27"/>
      <c r="AZ638" s="27"/>
    </row>
    <row r="639" spans="1:52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42"/>
      <c r="AW639" s="242"/>
      <c r="AX639" s="242"/>
      <c r="AY639" s="27"/>
      <c r="AZ639" s="27"/>
    </row>
    <row r="640" spans="1:52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42"/>
      <c r="AW640" s="242"/>
      <c r="AX640" s="242"/>
      <c r="AY640" s="27"/>
      <c r="AZ640" s="27"/>
    </row>
    <row r="641" spans="1:52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42"/>
      <c r="AW641" s="242"/>
      <c r="AX641" s="242"/>
      <c r="AY641" s="27"/>
      <c r="AZ641" s="27"/>
    </row>
    <row r="642" spans="1:52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42"/>
      <c r="AW642" s="242"/>
      <c r="AX642" s="242"/>
      <c r="AY642" s="27"/>
      <c r="AZ642" s="27"/>
    </row>
    <row r="643" spans="1:52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42"/>
      <c r="AW643" s="242"/>
      <c r="AX643" s="242"/>
      <c r="AY643" s="27"/>
      <c r="AZ643" s="27"/>
    </row>
    <row r="644" spans="1:52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42"/>
      <c r="AW644" s="242"/>
      <c r="AX644" s="242"/>
      <c r="AY644" s="27"/>
      <c r="AZ644" s="27"/>
    </row>
    <row r="645" spans="1:52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42"/>
      <c r="AW645" s="242"/>
      <c r="AX645" s="242"/>
      <c r="AY645" s="27"/>
      <c r="AZ645" s="27"/>
    </row>
    <row r="646" spans="1:5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42"/>
      <c r="AW646" s="242"/>
      <c r="AX646" s="242"/>
      <c r="AY646" s="27"/>
      <c r="AZ646" s="27"/>
    </row>
    <row r="647" spans="1:52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42"/>
      <c r="AW647" s="242"/>
      <c r="AX647" s="242"/>
      <c r="AY647" s="27"/>
      <c r="AZ647" s="27"/>
    </row>
    <row r="648" spans="1:52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42"/>
      <c r="AW648" s="242"/>
      <c r="AX648" s="242"/>
      <c r="AY648" s="27"/>
      <c r="AZ648" s="27"/>
    </row>
    <row r="649" spans="1:52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42"/>
      <c r="AW649" s="242"/>
      <c r="AX649" s="242"/>
      <c r="AY649" s="27"/>
      <c r="AZ649" s="27"/>
    </row>
    <row r="650" spans="1:52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42"/>
      <c r="AW650" s="242"/>
      <c r="AX650" s="242"/>
      <c r="AY650" s="27"/>
      <c r="AZ650" s="27"/>
    </row>
    <row r="651" spans="1:52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42"/>
      <c r="AW651" s="242"/>
      <c r="AX651" s="242"/>
      <c r="AY651" s="27"/>
      <c r="AZ651" s="27"/>
    </row>
    <row r="652" spans="1:52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42"/>
      <c r="AW652" s="242"/>
      <c r="AX652" s="242"/>
      <c r="AY652" s="27"/>
      <c r="AZ652" s="27"/>
    </row>
    <row r="653" spans="1:52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42"/>
      <c r="AW653" s="242"/>
      <c r="AX653" s="242"/>
      <c r="AY653" s="27"/>
      <c r="AZ653" s="27"/>
    </row>
    <row r="654" spans="1:52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42"/>
      <c r="AW654" s="242"/>
      <c r="AX654" s="242"/>
      <c r="AY654" s="27"/>
      <c r="AZ654" s="27"/>
    </row>
    <row r="655" spans="1:52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42"/>
      <c r="AW655" s="242"/>
      <c r="AX655" s="242"/>
      <c r="AY655" s="27"/>
      <c r="AZ655" s="27"/>
    </row>
    <row r="656" spans="1:52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42"/>
      <c r="AW656" s="242"/>
      <c r="AX656" s="242"/>
      <c r="AY656" s="27"/>
      <c r="AZ656" s="27"/>
    </row>
    <row r="657" spans="1:52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42"/>
      <c r="AW657" s="242"/>
      <c r="AX657" s="242"/>
      <c r="AY657" s="27"/>
      <c r="AZ657" s="27"/>
    </row>
    <row r="658" spans="1:52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42"/>
      <c r="AW658" s="242"/>
      <c r="AX658" s="242"/>
      <c r="AY658" s="27"/>
      <c r="AZ658" s="27"/>
    </row>
    <row r="659" spans="1:52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42"/>
      <c r="AW659" s="242"/>
      <c r="AX659" s="242"/>
      <c r="AY659" s="27"/>
      <c r="AZ659" s="27"/>
    </row>
    <row r="660" spans="1:52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42"/>
      <c r="AW660" s="242"/>
      <c r="AX660" s="242"/>
      <c r="AY660" s="27"/>
      <c r="AZ660" s="27"/>
    </row>
    <row r="661" spans="1:52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42"/>
      <c r="AW661" s="242"/>
      <c r="AX661" s="242"/>
      <c r="AY661" s="27"/>
      <c r="AZ661" s="27"/>
    </row>
    <row r="662" spans="1:52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42"/>
      <c r="AW662" s="242"/>
      <c r="AX662" s="242"/>
      <c r="AY662" s="27"/>
      <c r="AZ662" s="27"/>
    </row>
    <row r="663" spans="1:52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42"/>
      <c r="AW663" s="242"/>
      <c r="AX663" s="242"/>
      <c r="AY663" s="27"/>
      <c r="AZ663" s="27"/>
    </row>
    <row r="664" spans="1:52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42"/>
      <c r="AW664" s="242"/>
      <c r="AX664" s="242"/>
      <c r="AY664" s="27"/>
      <c r="AZ664" s="27"/>
    </row>
    <row r="665" spans="1:52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42"/>
      <c r="AW665" s="242"/>
      <c r="AX665" s="242"/>
      <c r="AY665" s="27"/>
      <c r="AZ665" s="27"/>
    </row>
    <row r="666" spans="1:52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42"/>
      <c r="AW666" s="242"/>
      <c r="AX666" s="242"/>
      <c r="AY666" s="27"/>
      <c r="AZ666" s="27"/>
    </row>
    <row r="667" spans="1:52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42"/>
      <c r="AW667" s="242"/>
      <c r="AX667" s="242"/>
      <c r="AY667" s="27"/>
      <c r="AZ667" s="27"/>
    </row>
    <row r="668" spans="1:52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42"/>
      <c r="AW668" s="242"/>
      <c r="AX668" s="242"/>
      <c r="AY668" s="27"/>
      <c r="AZ668" s="27"/>
    </row>
    <row r="669" spans="1:52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42"/>
      <c r="AW669" s="242"/>
      <c r="AX669" s="242"/>
      <c r="AY669" s="27"/>
      <c r="AZ669" s="27"/>
    </row>
    <row r="670" spans="1:52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42"/>
      <c r="AW670" s="242"/>
      <c r="AX670" s="242"/>
      <c r="AY670" s="27"/>
      <c r="AZ670" s="27"/>
    </row>
    <row r="671" spans="1:52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42"/>
      <c r="AW671" s="242"/>
      <c r="AX671" s="242"/>
      <c r="AY671" s="27"/>
      <c r="AZ671" s="27"/>
    </row>
    <row r="672" spans="1:52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42"/>
      <c r="AW672" s="242"/>
      <c r="AX672" s="242"/>
      <c r="AY672" s="27"/>
      <c r="AZ672" s="27"/>
    </row>
    <row r="673" spans="1:52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42"/>
      <c r="AW673" s="242"/>
      <c r="AX673" s="242"/>
      <c r="AY673" s="27"/>
      <c r="AZ673" s="27"/>
    </row>
    <row r="674" spans="1:52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42"/>
      <c r="AW674" s="242"/>
      <c r="AX674" s="242"/>
      <c r="AY674" s="27"/>
      <c r="AZ674" s="27"/>
    </row>
    <row r="675" spans="1:52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42"/>
      <c r="AW675" s="242"/>
      <c r="AX675" s="242"/>
      <c r="AY675" s="27"/>
      <c r="AZ675" s="27"/>
    </row>
    <row r="676" spans="1:52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42"/>
      <c r="AW676" s="242"/>
      <c r="AX676" s="242"/>
      <c r="AY676" s="27"/>
      <c r="AZ676" s="27"/>
    </row>
    <row r="677" spans="1:52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42"/>
      <c r="AW677" s="242"/>
      <c r="AX677" s="242"/>
      <c r="AY677" s="27"/>
      <c r="AZ677" s="27"/>
    </row>
    <row r="678" spans="1:52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42"/>
      <c r="AW678" s="242"/>
      <c r="AX678" s="242"/>
      <c r="AY678" s="27"/>
      <c r="AZ678" s="27"/>
    </row>
    <row r="679" spans="1:52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42"/>
      <c r="AW679" s="242"/>
      <c r="AX679" s="242"/>
      <c r="AY679" s="27"/>
      <c r="AZ679" s="27"/>
    </row>
    <row r="680" spans="1:52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42"/>
      <c r="AW680" s="242"/>
      <c r="AX680" s="242"/>
      <c r="AY680" s="27"/>
      <c r="AZ680" s="27"/>
    </row>
    <row r="681" spans="1:52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42"/>
      <c r="AW681" s="242"/>
      <c r="AX681" s="242"/>
      <c r="AY681" s="27"/>
      <c r="AZ681" s="27"/>
    </row>
    <row r="682" spans="1:52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42"/>
      <c r="AW682" s="242"/>
      <c r="AX682" s="242"/>
      <c r="AY682" s="27"/>
      <c r="AZ682" s="27"/>
    </row>
    <row r="683" spans="1:52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42"/>
      <c r="AW683" s="242"/>
      <c r="AX683" s="242"/>
      <c r="AY683" s="27"/>
      <c r="AZ683" s="27"/>
    </row>
    <row r="684" spans="1:52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42"/>
      <c r="AW684" s="242"/>
      <c r="AX684" s="242"/>
      <c r="AY684" s="27"/>
      <c r="AZ684" s="27"/>
    </row>
    <row r="685" spans="1:52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42"/>
      <c r="AW685" s="242"/>
      <c r="AX685" s="242"/>
      <c r="AY685" s="27"/>
      <c r="AZ685" s="27"/>
    </row>
    <row r="686" spans="1:52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42"/>
      <c r="AW686" s="242"/>
      <c r="AX686" s="242"/>
      <c r="AY686" s="27"/>
      <c r="AZ686" s="27"/>
    </row>
    <row r="687" spans="1:52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42"/>
      <c r="AW687" s="242"/>
      <c r="AX687" s="242"/>
      <c r="AY687" s="27"/>
      <c r="AZ687" s="27"/>
    </row>
    <row r="688" spans="1:52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42"/>
      <c r="AW688" s="242"/>
      <c r="AX688" s="242"/>
      <c r="AY688" s="27"/>
      <c r="AZ688" s="27"/>
    </row>
    <row r="689" spans="1:52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42"/>
      <c r="AW689" s="242"/>
      <c r="AX689" s="242"/>
      <c r="AY689" s="27"/>
      <c r="AZ689" s="27"/>
    </row>
    <row r="690" spans="1:52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42"/>
      <c r="AW690" s="242"/>
      <c r="AX690" s="242"/>
      <c r="AY690" s="27"/>
      <c r="AZ690" s="27"/>
    </row>
    <row r="691" spans="1:52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42"/>
      <c r="AW691" s="242"/>
      <c r="AX691" s="242"/>
      <c r="AY691" s="27"/>
      <c r="AZ691" s="27"/>
    </row>
    <row r="692" spans="1:52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42"/>
      <c r="AW692" s="242"/>
      <c r="AX692" s="242"/>
      <c r="AY692" s="27"/>
      <c r="AZ692" s="27"/>
    </row>
    <row r="693" spans="1:52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42"/>
      <c r="AW693" s="242"/>
      <c r="AX693" s="242"/>
      <c r="AY693" s="27"/>
      <c r="AZ693" s="27"/>
    </row>
    <row r="694" spans="1:52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42"/>
      <c r="AW694" s="242"/>
      <c r="AX694" s="242"/>
      <c r="AY694" s="27"/>
      <c r="AZ694" s="27"/>
    </row>
    <row r="695" spans="1:52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42"/>
      <c r="AW695" s="242"/>
      <c r="AX695" s="242"/>
      <c r="AY695" s="27"/>
      <c r="AZ695" s="27"/>
    </row>
    <row r="696" spans="1:52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42"/>
      <c r="AW696" s="242"/>
      <c r="AX696" s="242"/>
      <c r="AY696" s="27"/>
      <c r="AZ696" s="27"/>
    </row>
    <row r="697" spans="1:52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42"/>
      <c r="AW697" s="242"/>
      <c r="AX697" s="242"/>
      <c r="AY697" s="27"/>
      <c r="AZ697" s="27"/>
    </row>
    <row r="698" spans="1:52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42"/>
      <c r="AW698" s="242"/>
      <c r="AX698" s="242"/>
      <c r="AY698" s="27"/>
      <c r="AZ698" s="27"/>
    </row>
    <row r="699" spans="1:52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42"/>
      <c r="AW699" s="242"/>
      <c r="AX699" s="242"/>
      <c r="AY699" s="27"/>
      <c r="AZ699" s="27"/>
    </row>
    <row r="700" spans="1:52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42"/>
      <c r="AW700" s="242"/>
      <c r="AX700" s="242"/>
      <c r="AY700" s="27"/>
      <c r="AZ700" s="27"/>
    </row>
    <row r="701" spans="1:52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42"/>
      <c r="AW701" s="242"/>
      <c r="AX701" s="242"/>
      <c r="AY701" s="27"/>
      <c r="AZ701" s="27"/>
    </row>
    <row r="702" spans="1:52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42"/>
      <c r="AW702" s="242"/>
      <c r="AX702" s="242"/>
      <c r="AY702" s="27"/>
      <c r="AZ702" s="27"/>
    </row>
    <row r="703" spans="1:52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42"/>
      <c r="AW703" s="242"/>
      <c r="AX703" s="242"/>
      <c r="AY703" s="27"/>
      <c r="AZ703" s="27"/>
    </row>
    <row r="704" spans="1:52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42"/>
      <c r="AW704" s="242"/>
      <c r="AX704" s="242"/>
      <c r="AY704" s="27"/>
      <c r="AZ704" s="27"/>
    </row>
    <row r="705" spans="1:52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42"/>
      <c r="AW705" s="242"/>
      <c r="AX705" s="242"/>
      <c r="AY705" s="27"/>
      <c r="AZ705" s="27"/>
    </row>
    <row r="706" spans="1:52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42"/>
      <c r="AW706" s="242"/>
      <c r="AX706" s="242"/>
      <c r="AY706" s="27"/>
      <c r="AZ706" s="27"/>
    </row>
    <row r="707" spans="1:52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42"/>
      <c r="AW707" s="242"/>
      <c r="AX707" s="242"/>
      <c r="AY707" s="27"/>
      <c r="AZ707" s="27"/>
    </row>
    <row r="708" spans="1:52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42"/>
      <c r="AW708" s="242"/>
      <c r="AX708" s="242"/>
      <c r="AY708" s="27"/>
      <c r="AZ708" s="27"/>
    </row>
    <row r="709" spans="1:52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42"/>
      <c r="AW709" s="242"/>
      <c r="AX709" s="242"/>
      <c r="AY709" s="27"/>
      <c r="AZ709" s="27"/>
    </row>
    <row r="710" spans="1:52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42"/>
      <c r="AW710" s="242"/>
      <c r="AX710" s="242"/>
      <c r="AY710" s="27"/>
      <c r="AZ710" s="27"/>
    </row>
    <row r="711" spans="1:52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42"/>
      <c r="AW711" s="242"/>
      <c r="AX711" s="242"/>
      <c r="AY711" s="27"/>
      <c r="AZ711" s="27"/>
    </row>
    <row r="712" spans="1:52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42"/>
      <c r="AW712" s="242"/>
      <c r="AX712" s="242"/>
      <c r="AY712" s="27"/>
      <c r="AZ712" s="27"/>
    </row>
    <row r="713" spans="1:52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42"/>
      <c r="AW713" s="242"/>
      <c r="AX713" s="242"/>
      <c r="AY713" s="27"/>
      <c r="AZ713" s="27"/>
    </row>
    <row r="714" spans="1:52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42"/>
      <c r="AW714" s="242"/>
      <c r="AX714" s="242"/>
      <c r="AY714" s="27"/>
      <c r="AZ714" s="27"/>
    </row>
    <row r="715" spans="1:52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42"/>
      <c r="AW715" s="242"/>
      <c r="AX715" s="242"/>
      <c r="AY715" s="27"/>
      <c r="AZ715" s="27"/>
    </row>
    <row r="716" spans="1:52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42"/>
      <c r="AW716" s="242"/>
      <c r="AX716" s="242"/>
      <c r="AY716" s="27"/>
      <c r="AZ716" s="27"/>
    </row>
    <row r="717" spans="1:52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42"/>
      <c r="AW717" s="242"/>
      <c r="AX717" s="242"/>
      <c r="AY717" s="27"/>
      <c r="AZ717" s="27"/>
    </row>
    <row r="718" spans="1:52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42"/>
      <c r="AW718" s="242"/>
      <c r="AX718" s="242"/>
      <c r="AY718" s="27"/>
      <c r="AZ718" s="27"/>
    </row>
    <row r="719" spans="1:52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42"/>
      <c r="AW719" s="242"/>
      <c r="AX719" s="242"/>
      <c r="AY719" s="27"/>
      <c r="AZ719" s="27"/>
    </row>
    <row r="720" spans="1:52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42"/>
      <c r="AW720" s="242"/>
      <c r="AX720" s="242"/>
      <c r="AY720" s="27"/>
      <c r="AZ720" s="27"/>
    </row>
    <row r="721" spans="1:52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42"/>
      <c r="AW721" s="242"/>
      <c r="AX721" s="242"/>
      <c r="AY721" s="27"/>
      <c r="AZ721" s="27"/>
    </row>
    <row r="722" spans="1:52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42"/>
      <c r="AW722" s="242"/>
      <c r="AX722" s="242"/>
      <c r="AY722" s="27"/>
      <c r="AZ722" s="27"/>
    </row>
    <row r="723" spans="1:52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42"/>
      <c r="AW723" s="242"/>
      <c r="AX723" s="242"/>
      <c r="AY723" s="27"/>
      <c r="AZ723" s="27"/>
    </row>
    <row r="724" spans="1:52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42"/>
      <c r="AW724" s="242"/>
      <c r="AX724" s="242"/>
      <c r="AY724" s="27"/>
      <c r="AZ724" s="27"/>
    </row>
    <row r="725" spans="1:52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42"/>
      <c r="AW725" s="242"/>
      <c r="AX725" s="242"/>
      <c r="AY725" s="27"/>
      <c r="AZ725" s="27"/>
    </row>
    <row r="726" spans="1:52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42"/>
      <c r="AW726" s="242"/>
      <c r="AX726" s="242"/>
      <c r="AY726" s="27"/>
      <c r="AZ726" s="27"/>
    </row>
    <row r="727" spans="1:52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42"/>
      <c r="AW727" s="242"/>
      <c r="AX727" s="242"/>
      <c r="AY727" s="27"/>
      <c r="AZ727" s="27"/>
    </row>
    <row r="728" spans="1:52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42"/>
      <c r="AW728" s="242"/>
      <c r="AX728" s="242"/>
      <c r="AY728" s="27"/>
      <c r="AZ728" s="27"/>
    </row>
    <row r="729" spans="1:52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42"/>
      <c r="AW729" s="242"/>
      <c r="AX729" s="242"/>
      <c r="AY729" s="27"/>
      <c r="AZ729" s="27"/>
    </row>
    <row r="730" spans="1:52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42"/>
      <c r="AW730" s="242"/>
      <c r="AX730" s="242"/>
      <c r="AY730" s="27"/>
      <c r="AZ730" s="27"/>
    </row>
    <row r="731" spans="1:52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42"/>
      <c r="AW731" s="242"/>
      <c r="AX731" s="242"/>
      <c r="AY731" s="27"/>
      <c r="AZ731" s="27"/>
    </row>
    <row r="732" spans="1:52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42"/>
      <c r="AW732" s="242"/>
      <c r="AX732" s="242"/>
      <c r="AY732" s="27"/>
      <c r="AZ732" s="27"/>
    </row>
    <row r="733" spans="1:52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42"/>
      <c r="AW733" s="242"/>
      <c r="AX733" s="242"/>
      <c r="AY733" s="27"/>
      <c r="AZ733" s="27"/>
    </row>
    <row r="734" spans="1:52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42"/>
      <c r="AW734" s="242"/>
      <c r="AX734" s="242"/>
      <c r="AY734" s="27"/>
      <c r="AZ734" s="27"/>
    </row>
    <row r="735" spans="1:52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42"/>
      <c r="AW735" s="242"/>
      <c r="AX735" s="242"/>
      <c r="AY735" s="27"/>
      <c r="AZ735" s="27"/>
    </row>
    <row r="736" spans="1:52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42"/>
      <c r="AW736" s="242"/>
      <c r="AX736" s="242"/>
      <c r="AY736" s="27"/>
      <c r="AZ736" s="27"/>
    </row>
    <row r="737" spans="1:52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42"/>
      <c r="AW737" s="242"/>
      <c r="AX737" s="242"/>
      <c r="AY737" s="27"/>
      <c r="AZ737" s="27"/>
    </row>
    <row r="738" spans="1:52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42"/>
      <c r="AW738" s="242"/>
      <c r="AX738" s="242"/>
      <c r="AY738" s="27"/>
      <c r="AZ738" s="27"/>
    </row>
    <row r="739" spans="1:52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42"/>
      <c r="AW739" s="242"/>
      <c r="AX739" s="242"/>
      <c r="AY739" s="27"/>
      <c r="AZ739" s="27"/>
    </row>
    <row r="740" spans="1:52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42"/>
      <c r="AW740" s="242"/>
      <c r="AX740" s="242"/>
      <c r="AY740" s="27"/>
      <c r="AZ740" s="27"/>
    </row>
    <row r="741" spans="1:52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42"/>
      <c r="AW741" s="242"/>
      <c r="AX741" s="242"/>
      <c r="AY741" s="27"/>
      <c r="AZ741" s="27"/>
    </row>
    <row r="742" spans="1:52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42"/>
      <c r="AW742" s="242"/>
      <c r="AX742" s="242"/>
      <c r="AY742" s="27"/>
      <c r="AZ742" s="27"/>
    </row>
    <row r="743" spans="1:52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42"/>
      <c r="AW743" s="242"/>
      <c r="AX743" s="242"/>
      <c r="AY743" s="27"/>
      <c r="AZ743" s="27"/>
    </row>
    <row r="744" spans="1:52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42"/>
      <c r="AW744" s="242"/>
      <c r="AX744" s="242"/>
      <c r="AY744" s="27"/>
      <c r="AZ744" s="27"/>
    </row>
    <row r="745" spans="1:52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42"/>
      <c r="AW745" s="242"/>
      <c r="AX745" s="242"/>
      <c r="AY745" s="27"/>
      <c r="AZ745" s="27"/>
    </row>
    <row r="746" spans="1:52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42"/>
      <c r="AW746" s="242"/>
      <c r="AX746" s="242"/>
      <c r="AY746" s="27"/>
      <c r="AZ746" s="27"/>
    </row>
    <row r="747" spans="1:52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42"/>
      <c r="AW747" s="242"/>
      <c r="AX747" s="242"/>
      <c r="AY747" s="27"/>
      <c r="AZ747" s="27"/>
    </row>
    <row r="748" spans="1:52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42"/>
      <c r="AW748" s="242"/>
      <c r="AX748" s="242"/>
      <c r="AY748" s="27"/>
      <c r="AZ748" s="27"/>
    </row>
    <row r="749" spans="1:52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42"/>
      <c r="AW749" s="242"/>
      <c r="AX749" s="242"/>
      <c r="AY749" s="27"/>
      <c r="AZ749" s="27"/>
    </row>
    <row r="750" spans="1:52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42"/>
      <c r="AW750" s="242"/>
      <c r="AX750" s="242"/>
      <c r="AY750" s="27"/>
      <c r="AZ750" s="27"/>
    </row>
    <row r="751" spans="1:52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42"/>
      <c r="AW751" s="242"/>
      <c r="AX751" s="242"/>
      <c r="AY751" s="27"/>
      <c r="AZ751" s="27"/>
    </row>
    <row r="752" spans="1:52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42"/>
      <c r="AW752" s="242"/>
      <c r="AX752" s="242"/>
      <c r="AY752" s="27"/>
      <c r="AZ752" s="27"/>
    </row>
    <row r="753" spans="1:52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42"/>
      <c r="AW753" s="242"/>
      <c r="AX753" s="242"/>
      <c r="AY753" s="27"/>
      <c r="AZ753" s="27"/>
    </row>
    <row r="754" spans="1:52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42"/>
      <c r="AW754" s="242"/>
      <c r="AX754" s="242"/>
      <c r="AY754" s="27"/>
      <c r="AZ754" s="27"/>
    </row>
    <row r="755" spans="1:52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42"/>
      <c r="AW755" s="242"/>
      <c r="AX755" s="242"/>
      <c r="AY755" s="27"/>
      <c r="AZ755" s="27"/>
    </row>
    <row r="756" spans="1:52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42"/>
      <c r="AW756" s="242"/>
      <c r="AX756" s="242"/>
      <c r="AY756" s="27"/>
      <c r="AZ756" s="27"/>
    </row>
    <row r="757" spans="1:52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42"/>
      <c r="AW757" s="242"/>
      <c r="AX757" s="242"/>
      <c r="AY757" s="27"/>
      <c r="AZ757" s="27"/>
    </row>
    <row r="758" spans="1:52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42"/>
      <c r="AW758" s="242"/>
      <c r="AX758" s="242"/>
      <c r="AY758" s="27"/>
      <c r="AZ758" s="27"/>
    </row>
    <row r="759" spans="1:52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42"/>
      <c r="AW759" s="242"/>
      <c r="AX759" s="242"/>
      <c r="AY759" s="27"/>
      <c r="AZ759" s="27"/>
    </row>
    <row r="760" spans="1:52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42"/>
      <c r="AW760" s="242"/>
      <c r="AX760" s="242"/>
      <c r="AY760" s="27"/>
      <c r="AZ760" s="27"/>
    </row>
    <row r="761" spans="1:52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42"/>
      <c r="AW761" s="242"/>
      <c r="AX761" s="242"/>
      <c r="AY761" s="27"/>
      <c r="AZ761" s="27"/>
    </row>
    <row r="762" spans="1:52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42"/>
      <c r="AW762" s="242"/>
      <c r="AX762" s="242"/>
      <c r="AY762" s="27"/>
      <c r="AZ762" s="27"/>
    </row>
    <row r="763" spans="1:52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42"/>
      <c r="AW763" s="242"/>
      <c r="AX763" s="242"/>
      <c r="AY763" s="27"/>
      <c r="AZ763" s="27"/>
    </row>
    <row r="764" spans="1:52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42"/>
      <c r="AW764" s="242"/>
      <c r="AX764" s="242"/>
      <c r="AY764" s="27"/>
      <c r="AZ764" s="27"/>
    </row>
    <row r="765" spans="1:52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42"/>
      <c r="AW765" s="242"/>
      <c r="AX765" s="242"/>
      <c r="AY765" s="27"/>
      <c r="AZ765" s="27"/>
    </row>
    <row r="766" spans="1:52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42"/>
      <c r="AW766" s="242"/>
      <c r="AX766" s="242"/>
      <c r="AY766" s="27"/>
      <c r="AZ766" s="27"/>
    </row>
    <row r="767" spans="1:52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42"/>
      <c r="AW767" s="242"/>
      <c r="AX767" s="242"/>
      <c r="AY767" s="27"/>
      <c r="AZ767" s="27"/>
    </row>
    <row r="768" spans="1:52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42"/>
      <c r="AW768" s="242"/>
      <c r="AX768" s="242"/>
      <c r="AY768" s="27"/>
      <c r="AZ768" s="27"/>
    </row>
    <row r="769" spans="1:52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42"/>
      <c r="AW769" s="242"/>
      <c r="AX769" s="242"/>
      <c r="AY769" s="27"/>
      <c r="AZ769" s="27"/>
    </row>
    <row r="770" spans="1:52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42"/>
      <c r="AW770" s="242"/>
      <c r="AX770" s="242"/>
      <c r="AY770" s="27"/>
      <c r="AZ770" s="27"/>
    </row>
    <row r="771" spans="1:52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42"/>
      <c r="AW771" s="242"/>
      <c r="AX771" s="242"/>
      <c r="AY771" s="27"/>
      <c r="AZ771" s="27"/>
    </row>
    <row r="772" spans="1:52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42"/>
      <c r="AW772" s="242"/>
      <c r="AX772" s="242"/>
      <c r="AY772" s="27"/>
      <c r="AZ772" s="27"/>
    </row>
    <row r="773" spans="1:52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42"/>
      <c r="AW773" s="242"/>
      <c r="AX773" s="242"/>
      <c r="AY773" s="27"/>
      <c r="AZ773" s="27"/>
    </row>
    <row r="774" spans="1:52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42"/>
      <c r="AW774" s="242"/>
      <c r="AX774" s="242"/>
      <c r="AY774" s="27"/>
      <c r="AZ774" s="27"/>
    </row>
    <row r="775" spans="1:52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42"/>
      <c r="AW775" s="242"/>
      <c r="AX775" s="242"/>
      <c r="AY775" s="27"/>
      <c r="AZ775" s="27"/>
    </row>
    <row r="776" spans="1:52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42"/>
      <c r="AW776" s="242"/>
      <c r="AX776" s="242"/>
      <c r="AY776" s="27"/>
      <c r="AZ776" s="27"/>
    </row>
    <row r="777" spans="1:52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42"/>
      <c r="AW777" s="242"/>
      <c r="AX777" s="242"/>
      <c r="AY777" s="27"/>
      <c r="AZ777" s="27"/>
    </row>
    <row r="778" spans="1:52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42"/>
      <c r="AW778" s="242"/>
      <c r="AX778" s="242"/>
      <c r="AY778" s="27"/>
      <c r="AZ778" s="27"/>
    </row>
    <row r="779" spans="1:52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42"/>
      <c r="AW779" s="242"/>
      <c r="AX779" s="242"/>
      <c r="AY779" s="27"/>
      <c r="AZ779" s="27"/>
    </row>
    <row r="780" spans="1:52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42"/>
      <c r="AW780" s="242"/>
      <c r="AX780" s="242"/>
      <c r="AY780" s="27"/>
      <c r="AZ780" s="27"/>
    </row>
    <row r="781" spans="1:52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42"/>
      <c r="AW781" s="242"/>
      <c r="AX781" s="242"/>
      <c r="AY781" s="27"/>
      <c r="AZ781" s="27"/>
    </row>
    <row r="782" spans="1:52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42"/>
      <c r="AW782" s="242"/>
      <c r="AX782" s="242"/>
      <c r="AY782" s="27"/>
      <c r="AZ782" s="27"/>
    </row>
    <row r="783" spans="1:52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42"/>
      <c r="AW783" s="242"/>
      <c r="AX783" s="242"/>
      <c r="AY783" s="27"/>
      <c r="AZ783" s="27"/>
    </row>
    <row r="784" spans="1:52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42"/>
      <c r="AW784" s="242"/>
      <c r="AX784" s="242"/>
      <c r="AY784" s="27"/>
      <c r="AZ784" s="27"/>
    </row>
    <row r="785" spans="1:52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42"/>
      <c r="AW785" s="242"/>
      <c r="AX785" s="242"/>
      <c r="AY785" s="27"/>
      <c r="AZ785" s="27"/>
    </row>
    <row r="786" spans="1:52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42"/>
      <c r="AW786" s="242"/>
      <c r="AX786" s="242"/>
      <c r="AY786" s="27"/>
      <c r="AZ786" s="27"/>
    </row>
    <row r="787" spans="1:52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42"/>
      <c r="AW787" s="242"/>
      <c r="AX787" s="242"/>
      <c r="AY787" s="27"/>
      <c r="AZ787" s="27"/>
    </row>
    <row r="788" spans="1:52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42"/>
      <c r="AW788" s="242"/>
      <c r="AX788" s="242"/>
      <c r="AY788" s="27"/>
      <c r="AZ788" s="27"/>
    </row>
    <row r="789" spans="1:52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42"/>
      <c r="AW789" s="242"/>
      <c r="AX789" s="242"/>
      <c r="AY789" s="27"/>
      <c r="AZ789" s="27"/>
    </row>
    <row r="790" spans="1:52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42"/>
      <c r="AW790" s="242"/>
      <c r="AX790" s="242"/>
      <c r="AY790" s="27"/>
      <c r="AZ790" s="27"/>
    </row>
    <row r="791" spans="1:52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42"/>
      <c r="AW791" s="242"/>
      <c r="AX791" s="242"/>
      <c r="AY791" s="27"/>
      <c r="AZ791" s="27"/>
    </row>
    <row r="792" spans="1:52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42"/>
      <c r="AW792" s="242"/>
      <c r="AX792" s="242"/>
      <c r="AY792" s="27"/>
      <c r="AZ792" s="27"/>
    </row>
    <row r="793" spans="1:52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42"/>
      <c r="AW793" s="242"/>
      <c r="AX793" s="242"/>
      <c r="AY793" s="27"/>
      <c r="AZ793" s="27"/>
    </row>
    <row r="794" spans="1:52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42"/>
      <c r="AW794" s="242"/>
      <c r="AX794" s="242"/>
      <c r="AY794" s="27"/>
      <c r="AZ794" s="27"/>
    </row>
    <row r="795" spans="1:52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42"/>
      <c r="AW795" s="242"/>
      <c r="AX795" s="242"/>
      <c r="AY795" s="27"/>
      <c r="AZ795" s="27"/>
    </row>
    <row r="796" spans="1:52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42"/>
      <c r="AW796" s="242"/>
      <c r="AX796" s="242"/>
      <c r="AY796" s="27"/>
      <c r="AZ796" s="27"/>
    </row>
    <row r="797" spans="1:52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42"/>
      <c r="AW797" s="242"/>
      <c r="AX797" s="242"/>
      <c r="AY797" s="27"/>
      <c r="AZ797" s="27"/>
    </row>
    <row r="798" spans="1:52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42"/>
      <c r="AW798" s="242"/>
      <c r="AX798" s="242"/>
      <c r="AY798" s="27"/>
      <c r="AZ798" s="27"/>
    </row>
    <row r="799" spans="1:52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42"/>
      <c r="AW799" s="242"/>
      <c r="AX799" s="242"/>
      <c r="AY799" s="27"/>
      <c r="AZ799" s="27"/>
    </row>
    <row r="800" spans="1:52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42"/>
      <c r="AW800" s="242"/>
      <c r="AX800" s="242"/>
      <c r="AY800" s="27"/>
      <c r="AZ800" s="27"/>
    </row>
    <row r="801" spans="1:52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42"/>
      <c r="AW801" s="242"/>
      <c r="AX801" s="242"/>
      <c r="AY801" s="27"/>
      <c r="AZ801" s="27"/>
    </row>
    <row r="802" spans="1:52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42"/>
      <c r="AW802" s="242"/>
      <c r="AX802" s="242"/>
      <c r="AY802" s="27"/>
      <c r="AZ802" s="27"/>
    </row>
    <row r="803" spans="1:52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42"/>
      <c r="AW803" s="242"/>
      <c r="AX803" s="242"/>
      <c r="AY803" s="27"/>
      <c r="AZ803" s="27"/>
    </row>
    <row r="804" spans="1:52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42"/>
      <c r="AW804" s="242"/>
      <c r="AX804" s="242"/>
      <c r="AY804" s="27"/>
      <c r="AZ804" s="27"/>
    </row>
    <row r="805" spans="1:52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42"/>
      <c r="AW805" s="242"/>
      <c r="AX805" s="242"/>
      <c r="AY805" s="27"/>
      <c r="AZ805" s="27"/>
    </row>
    <row r="806" spans="1:52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42"/>
      <c r="AW806" s="242"/>
      <c r="AX806" s="242"/>
      <c r="AY806" s="27"/>
      <c r="AZ806" s="27"/>
    </row>
    <row r="807" spans="1:52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42"/>
      <c r="AW807" s="242"/>
      <c r="AX807" s="242"/>
      <c r="AY807" s="27"/>
      <c r="AZ807" s="27"/>
    </row>
    <row r="808" spans="1:52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42"/>
      <c r="AW808" s="242"/>
      <c r="AX808" s="242"/>
      <c r="AY808" s="27"/>
      <c r="AZ808" s="27"/>
    </row>
    <row r="809" spans="1:52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42"/>
      <c r="AW809" s="242"/>
      <c r="AX809" s="242"/>
      <c r="AY809" s="27"/>
      <c r="AZ809" s="27"/>
    </row>
    <row r="810" spans="1:52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42"/>
      <c r="AW810" s="242"/>
      <c r="AX810" s="242"/>
      <c r="AY810" s="27"/>
      <c r="AZ810" s="27"/>
    </row>
    <row r="811" spans="1:52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42"/>
      <c r="AW811" s="242"/>
      <c r="AX811" s="242"/>
      <c r="AY811" s="27"/>
      <c r="AZ811" s="27"/>
    </row>
    <row r="812" spans="1:52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42"/>
      <c r="AW812" s="242"/>
      <c r="AX812" s="242"/>
      <c r="AY812" s="27"/>
      <c r="AZ812" s="27"/>
    </row>
    <row r="813" spans="1:52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42"/>
      <c r="AW813" s="242"/>
      <c r="AX813" s="242"/>
      <c r="AY813" s="27"/>
      <c r="AZ813" s="27"/>
    </row>
    <row r="814" spans="1:52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42"/>
      <c r="AW814" s="242"/>
      <c r="AX814" s="242"/>
      <c r="AY814" s="27"/>
      <c r="AZ814" s="27"/>
    </row>
    <row r="815" spans="1:52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42"/>
      <c r="AW815" s="242"/>
      <c r="AX815" s="242"/>
      <c r="AY815" s="27"/>
      <c r="AZ815" s="27"/>
    </row>
    <row r="816" spans="1:52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42"/>
      <c r="AW816" s="242"/>
      <c r="AX816" s="242"/>
      <c r="AY816" s="27"/>
      <c r="AZ816" s="27"/>
    </row>
    <row r="817" spans="1:52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42"/>
      <c r="AW817" s="242"/>
      <c r="AX817" s="242"/>
      <c r="AY817" s="27"/>
      <c r="AZ817" s="27"/>
    </row>
    <row r="818" spans="1:52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42"/>
      <c r="AW818" s="242"/>
      <c r="AX818" s="242"/>
      <c r="AY818" s="27"/>
      <c r="AZ818" s="27"/>
    </row>
    <row r="819" spans="1:52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42"/>
      <c r="AW819" s="242"/>
      <c r="AX819" s="242"/>
      <c r="AY819" s="27"/>
      <c r="AZ819" s="27"/>
    </row>
    <row r="820" spans="1:52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42"/>
      <c r="AW820" s="242"/>
      <c r="AX820" s="242"/>
      <c r="AY820" s="27"/>
      <c r="AZ820" s="27"/>
    </row>
    <row r="821" spans="1:52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42"/>
      <c r="AW821" s="242"/>
      <c r="AX821" s="242"/>
      <c r="AY821" s="27"/>
      <c r="AZ821" s="27"/>
    </row>
    <row r="822" spans="1:52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42"/>
      <c r="AW822" s="242"/>
      <c r="AX822" s="242"/>
      <c r="AY822" s="27"/>
      <c r="AZ822" s="27"/>
    </row>
    <row r="823" spans="1:52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42"/>
      <c r="AW823" s="242"/>
      <c r="AX823" s="242"/>
      <c r="AY823" s="27"/>
      <c r="AZ823" s="27"/>
    </row>
    <row r="824" spans="1:52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42"/>
      <c r="AW824" s="242"/>
      <c r="AX824" s="242"/>
      <c r="AY824" s="27"/>
      <c r="AZ824" s="27"/>
    </row>
    <row r="825" spans="1:52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42"/>
      <c r="AW825" s="242"/>
      <c r="AX825" s="242"/>
      <c r="AY825" s="27"/>
      <c r="AZ825" s="27"/>
    </row>
    <row r="826" spans="1:52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42"/>
      <c r="AW826" s="242"/>
      <c r="AX826" s="242"/>
      <c r="AY826" s="27"/>
      <c r="AZ826" s="27"/>
    </row>
    <row r="827" spans="1:52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42"/>
      <c r="AW827" s="242"/>
      <c r="AX827" s="242"/>
      <c r="AY827" s="27"/>
      <c r="AZ827" s="27"/>
    </row>
    <row r="828" spans="1:52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42"/>
      <c r="AW828" s="242"/>
      <c r="AX828" s="242"/>
      <c r="AY828" s="27"/>
      <c r="AZ828" s="27"/>
    </row>
    <row r="829" spans="1:52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42"/>
      <c r="AW829" s="242"/>
      <c r="AX829" s="242"/>
      <c r="AY829" s="27"/>
      <c r="AZ829" s="27"/>
    </row>
    <row r="830" spans="1:52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42"/>
      <c r="AW830" s="242"/>
      <c r="AX830" s="242"/>
      <c r="AY830" s="27"/>
      <c r="AZ830" s="27"/>
    </row>
    <row r="831" spans="1:52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42"/>
      <c r="AW831" s="242"/>
      <c r="AX831" s="242"/>
      <c r="AY831" s="27"/>
      <c r="AZ831" s="27"/>
    </row>
    <row r="832" spans="1:52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42"/>
      <c r="AW832" s="242"/>
      <c r="AX832" s="242"/>
      <c r="AY832" s="27"/>
      <c r="AZ832" s="27"/>
    </row>
    <row r="833" spans="1:52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42"/>
      <c r="AW833" s="242"/>
      <c r="AX833" s="242"/>
      <c r="AY833" s="27"/>
      <c r="AZ833" s="27"/>
    </row>
    <row r="834" spans="1:52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42"/>
      <c r="AW834" s="242"/>
      <c r="AX834" s="242"/>
      <c r="AY834" s="27"/>
      <c r="AZ834" s="27"/>
    </row>
    <row r="835" spans="1:52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42"/>
      <c r="AW835" s="242"/>
      <c r="AX835" s="242"/>
      <c r="AY835" s="27"/>
      <c r="AZ835" s="27"/>
    </row>
    <row r="836" spans="1:52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42"/>
      <c r="AW836" s="242"/>
      <c r="AX836" s="242"/>
      <c r="AY836" s="27"/>
      <c r="AZ836" s="27"/>
    </row>
    <row r="837" spans="1:52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42"/>
      <c r="AW837" s="242"/>
      <c r="AX837" s="242"/>
      <c r="AY837" s="27"/>
      <c r="AZ837" s="27"/>
    </row>
    <row r="838" spans="1:52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42"/>
      <c r="AW838" s="242"/>
      <c r="AX838" s="242"/>
      <c r="AY838" s="27"/>
      <c r="AZ838" s="27"/>
    </row>
    <row r="839" spans="1:52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42"/>
      <c r="AW839" s="242"/>
      <c r="AX839" s="242"/>
      <c r="AY839" s="27"/>
      <c r="AZ839" s="27"/>
    </row>
    <row r="840" spans="1:52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42"/>
      <c r="AW840" s="242"/>
      <c r="AX840" s="242"/>
      <c r="AY840" s="27"/>
      <c r="AZ840" s="27"/>
    </row>
    <row r="841" spans="1:52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42"/>
      <c r="AW841" s="242"/>
      <c r="AX841" s="242"/>
      <c r="AY841" s="27"/>
      <c r="AZ841" s="27"/>
    </row>
    <row r="842" spans="1:52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42"/>
      <c r="AW842" s="242"/>
      <c r="AX842" s="242"/>
      <c r="AY842" s="27"/>
      <c r="AZ842" s="27"/>
    </row>
    <row r="843" spans="1:52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42"/>
      <c r="AW843" s="242"/>
      <c r="AX843" s="242"/>
      <c r="AY843" s="27"/>
      <c r="AZ843" s="27"/>
    </row>
    <row r="844" spans="1:52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42"/>
      <c r="AW844" s="242"/>
      <c r="AX844" s="242"/>
      <c r="AY844" s="27"/>
      <c r="AZ844" s="27"/>
    </row>
    <row r="845" spans="1:52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42"/>
      <c r="AW845" s="242"/>
      <c r="AX845" s="242"/>
      <c r="AY845" s="27"/>
      <c r="AZ845" s="27"/>
    </row>
    <row r="846" spans="1:52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42"/>
      <c r="AW846" s="242"/>
      <c r="AX846" s="242"/>
      <c r="AY846" s="27"/>
      <c r="AZ846" s="27"/>
    </row>
    <row r="847" spans="1:52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42"/>
      <c r="AW847" s="242"/>
      <c r="AX847" s="242"/>
      <c r="AY847" s="27"/>
      <c r="AZ847" s="27"/>
    </row>
    <row r="848" spans="1:52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42"/>
      <c r="AW848" s="242"/>
      <c r="AX848" s="242"/>
      <c r="AY848" s="27"/>
      <c r="AZ848" s="27"/>
    </row>
    <row r="849" spans="1:52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42"/>
      <c r="AW849" s="242"/>
      <c r="AX849" s="242"/>
      <c r="AY849" s="27"/>
      <c r="AZ849" s="27"/>
    </row>
    <row r="850" spans="1:52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42"/>
      <c r="AW850" s="242"/>
      <c r="AX850" s="242"/>
      <c r="AY850" s="27"/>
      <c r="AZ850" s="27"/>
    </row>
    <row r="851" spans="1:52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42"/>
      <c r="AW851" s="242"/>
      <c r="AX851" s="242"/>
      <c r="AY851" s="27"/>
      <c r="AZ851" s="27"/>
    </row>
    <row r="852" spans="1:52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42"/>
      <c r="AW852" s="242"/>
      <c r="AX852" s="242"/>
      <c r="AY852" s="27"/>
      <c r="AZ852" s="27"/>
    </row>
    <row r="853" spans="1:52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42"/>
      <c r="AW853" s="242"/>
      <c r="AX853" s="242"/>
      <c r="AY853" s="27"/>
      <c r="AZ853" s="27"/>
    </row>
    <row r="854" spans="1:52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42"/>
      <c r="AW854" s="242"/>
      <c r="AX854" s="242"/>
      <c r="AY854" s="27"/>
      <c r="AZ854" s="27"/>
    </row>
    <row r="855" spans="1:52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42"/>
      <c r="AW855" s="242"/>
      <c r="AX855" s="242"/>
      <c r="AY855" s="27"/>
      <c r="AZ855" s="27"/>
    </row>
    <row r="856" spans="1:52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42"/>
      <c r="AW856" s="242"/>
      <c r="AX856" s="242"/>
      <c r="AY856" s="27"/>
      <c r="AZ856" s="27"/>
    </row>
    <row r="857" spans="1:52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42"/>
      <c r="AW857" s="242"/>
      <c r="AX857" s="242"/>
      <c r="AY857" s="27"/>
      <c r="AZ857" s="27"/>
    </row>
    <row r="858" spans="1:52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42"/>
      <c r="AW858" s="242"/>
      <c r="AX858" s="242"/>
      <c r="AY858" s="27"/>
      <c r="AZ858" s="27"/>
    </row>
    <row r="859" spans="1:52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42"/>
      <c r="AW859" s="242"/>
      <c r="AX859" s="242"/>
      <c r="AY859" s="27"/>
      <c r="AZ859" s="27"/>
    </row>
    <row r="860" spans="1:52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42"/>
      <c r="AW860" s="242"/>
      <c r="AX860" s="242"/>
      <c r="AY860" s="27"/>
      <c r="AZ860" s="27"/>
    </row>
    <row r="861" spans="1:52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42"/>
      <c r="AW861" s="242"/>
      <c r="AX861" s="242"/>
      <c r="AY861" s="27"/>
      <c r="AZ861" s="27"/>
    </row>
    <row r="862" spans="1:52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42"/>
      <c r="AW862" s="242"/>
      <c r="AX862" s="242"/>
      <c r="AY862" s="27"/>
      <c r="AZ862" s="27"/>
    </row>
    <row r="863" spans="1:52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42"/>
      <c r="AW863" s="242"/>
      <c r="AX863" s="242"/>
      <c r="AY863" s="27"/>
      <c r="AZ863" s="27"/>
    </row>
    <row r="864" spans="1:52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42"/>
      <c r="AW864" s="242"/>
      <c r="AX864" s="242"/>
      <c r="AY864" s="27"/>
      <c r="AZ864" s="27"/>
    </row>
    <row r="865" spans="1:52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42"/>
      <c r="AW865" s="242"/>
      <c r="AX865" s="242"/>
      <c r="AY865" s="27"/>
      <c r="AZ865" s="27"/>
    </row>
    <row r="866" spans="1:52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42"/>
      <c r="AW866" s="242"/>
      <c r="AX866" s="242"/>
      <c r="AY866" s="27"/>
      <c r="AZ866" s="27"/>
    </row>
    <row r="867" spans="1:52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42"/>
      <c r="AW867" s="242"/>
      <c r="AX867" s="242"/>
      <c r="AY867" s="27"/>
      <c r="AZ867" s="27"/>
    </row>
    <row r="868" spans="1:52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42"/>
      <c r="AW868" s="242"/>
      <c r="AX868" s="242"/>
      <c r="AY868" s="27"/>
      <c r="AZ868" s="27"/>
    </row>
    <row r="869" spans="1:52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42"/>
      <c r="AW869" s="242"/>
      <c r="AX869" s="242"/>
      <c r="AY869" s="27"/>
      <c r="AZ869" s="27"/>
    </row>
    <row r="870" spans="1:52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42"/>
      <c r="AW870" s="242"/>
      <c r="AX870" s="242"/>
      <c r="AY870" s="27"/>
      <c r="AZ870" s="27"/>
    </row>
    <row r="871" spans="1:52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42"/>
      <c r="AW871" s="242"/>
      <c r="AX871" s="242"/>
      <c r="AY871" s="27"/>
      <c r="AZ871" s="27"/>
    </row>
    <row r="872" spans="1:52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42"/>
      <c r="AW872" s="242"/>
      <c r="AX872" s="242"/>
      <c r="AY872" s="27"/>
      <c r="AZ872" s="27"/>
    </row>
    <row r="873" spans="1:52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42"/>
      <c r="AW873" s="242"/>
      <c r="AX873" s="242"/>
      <c r="AY873" s="27"/>
      <c r="AZ873" s="27"/>
    </row>
    <row r="874" spans="1:52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42"/>
      <c r="AW874" s="242"/>
      <c r="AX874" s="242"/>
      <c r="AY874" s="27"/>
      <c r="AZ874" s="27"/>
    </row>
    <row r="875" spans="1:52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42"/>
      <c r="AW875" s="242"/>
      <c r="AX875" s="242"/>
      <c r="AY875" s="27"/>
      <c r="AZ875" s="27"/>
    </row>
    <row r="876" spans="1:52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42"/>
      <c r="AW876" s="242"/>
      <c r="AX876" s="242"/>
      <c r="AY876" s="27"/>
      <c r="AZ876" s="27"/>
    </row>
    <row r="877" spans="1:52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42"/>
      <c r="AW877" s="242"/>
      <c r="AX877" s="242"/>
      <c r="AY877" s="27"/>
      <c r="AZ877" s="27"/>
    </row>
    <row r="878" spans="1:52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42"/>
      <c r="AW878" s="242"/>
      <c r="AX878" s="242"/>
      <c r="AY878" s="27"/>
      <c r="AZ878" s="27"/>
    </row>
    <row r="879" spans="1:52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42"/>
      <c r="AW879" s="242"/>
      <c r="AX879" s="242"/>
      <c r="AY879" s="27"/>
      <c r="AZ879" s="27"/>
    </row>
    <row r="880" spans="1:52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42"/>
      <c r="AW880" s="242"/>
      <c r="AX880" s="242"/>
      <c r="AY880" s="27"/>
      <c r="AZ880" s="27"/>
    </row>
    <row r="881" spans="1:52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42"/>
      <c r="AW881" s="242"/>
      <c r="AX881" s="242"/>
      <c r="AY881" s="27"/>
      <c r="AZ881" s="27"/>
    </row>
    <row r="882" spans="1:52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42"/>
      <c r="AW882" s="242"/>
      <c r="AX882" s="242"/>
      <c r="AY882" s="27"/>
      <c r="AZ882" s="27"/>
    </row>
    <row r="883" spans="1:52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42"/>
      <c r="AW883" s="242"/>
      <c r="AX883" s="242"/>
      <c r="AY883" s="27"/>
      <c r="AZ883" s="27"/>
    </row>
    <row r="884" spans="1:52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42"/>
      <c r="AW884" s="242"/>
      <c r="AX884" s="242"/>
      <c r="AY884" s="27"/>
      <c r="AZ884" s="27"/>
    </row>
    <row r="885" spans="1:52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42"/>
      <c r="AW885" s="242"/>
      <c r="AX885" s="242"/>
      <c r="AY885" s="27"/>
      <c r="AZ885" s="27"/>
    </row>
    <row r="886" spans="1:52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42"/>
      <c r="AW886" s="242"/>
      <c r="AX886" s="242"/>
      <c r="AY886" s="27"/>
      <c r="AZ886" s="27"/>
    </row>
    <row r="887" spans="1:52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42"/>
      <c r="AW887" s="242"/>
      <c r="AX887" s="242"/>
      <c r="AY887" s="27"/>
      <c r="AZ887" s="27"/>
    </row>
    <row r="888" spans="1:52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42"/>
      <c r="AW888" s="242"/>
      <c r="AX888" s="242"/>
      <c r="AY888" s="27"/>
      <c r="AZ888" s="27"/>
    </row>
    <row r="889" spans="1:52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42"/>
      <c r="AW889" s="242"/>
      <c r="AX889" s="242"/>
      <c r="AY889" s="27"/>
      <c r="AZ889" s="27"/>
    </row>
    <row r="890" spans="1:52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42"/>
      <c r="AW890" s="242"/>
      <c r="AX890" s="242"/>
      <c r="AY890" s="27"/>
      <c r="AZ890" s="27"/>
    </row>
    <row r="891" spans="1:52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42"/>
      <c r="AW891" s="242"/>
      <c r="AX891" s="242"/>
      <c r="AY891" s="27"/>
      <c r="AZ891" s="27"/>
    </row>
    <row r="892" spans="1:52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42"/>
      <c r="AW892" s="242"/>
      <c r="AX892" s="242"/>
      <c r="AY892" s="27"/>
      <c r="AZ892" s="27"/>
    </row>
    <row r="893" spans="1:52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42"/>
      <c r="AW893" s="242"/>
      <c r="AX893" s="242"/>
      <c r="AY893" s="27"/>
      <c r="AZ893" s="27"/>
    </row>
    <row r="894" spans="1:52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42"/>
      <c r="AW894" s="242"/>
      <c r="AX894" s="242"/>
      <c r="AY894" s="27"/>
      <c r="AZ894" s="27"/>
    </row>
    <row r="895" spans="1:52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42"/>
      <c r="AW895" s="242"/>
      <c r="AX895" s="242"/>
      <c r="AY895" s="27"/>
      <c r="AZ895" s="27"/>
    </row>
    <row r="896" spans="1:52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42"/>
      <c r="AW896" s="242"/>
      <c r="AX896" s="242"/>
      <c r="AY896" s="27"/>
      <c r="AZ896" s="27"/>
    </row>
    <row r="897" spans="1:52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42"/>
      <c r="AW897" s="242"/>
      <c r="AX897" s="242"/>
      <c r="AY897" s="27"/>
      <c r="AZ897" s="27"/>
    </row>
    <row r="898" spans="1:52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42"/>
      <c r="AW898" s="242"/>
      <c r="AX898" s="242"/>
      <c r="AY898" s="27"/>
      <c r="AZ898" s="27"/>
    </row>
    <row r="899" spans="1:52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42"/>
      <c r="AW899" s="242"/>
      <c r="AX899" s="242"/>
      <c r="AY899" s="27"/>
      <c r="AZ899" s="27"/>
    </row>
    <row r="900" spans="1:52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42"/>
      <c r="AW900" s="242"/>
      <c r="AX900" s="242"/>
      <c r="AY900" s="27"/>
      <c r="AZ900" s="27"/>
    </row>
    <row r="901" spans="1:52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42"/>
      <c r="AW901" s="242"/>
      <c r="AX901" s="242"/>
      <c r="AY901" s="27"/>
      <c r="AZ901" s="27"/>
    </row>
    <row r="902" spans="1:52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42"/>
      <c r="AW902" s="242"/>
      <c r="AX902" s="242"/>
      <c r="AY902" s="27"/>
      <c r="AZ902" s="27"/>
    </row>
    <row r="903" spans="1:52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42"/>
      <c r="AW903" s="242"/>
      <c r="AX903" s="242"/>
      <c r="AY903" s="27"/>
      <c r="AZ903" s="27"/>
    </row>
    <row r="904" spans="1:52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42"/>
      <c r="AW904" s="242"/>
      <c r="AX904" s="242"/>
      <c r="AY904" s="27"/>
      <c r="AZ904" s="27"/>
    </row>
    <row r="905" spans="1:52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42"/>
      <c r="AW905" s="242"/>
      <c r="AX905" s="242"/>
      <c r="AY905" s="27"/>
      <c r="AZ905" s="27"/>
    </row>
    <row r="906" spans="1:52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42"/>
      <c r="AW906" s="242"/>
      <c r="AX906" s="242"/>
      <c r="AY906" s="27"/>
      <c r="AZ906" s="27"/>
    </row>
    <row r="907" spans="1:52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42"/>
      <c r="AW907" s="242"/>
      <c r="AX907" s="242"/>
      <c r="AY907" s="27"/>
      <c r="AZ907" s="27"/>
    </row>
    <row r="908" spans="1:52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42"/>
      <c r="AW908" s="242"/>
      <c r="AX908" s="242"/>
      <c r="AY908" s="27"/>
      <c r="AZ908" s="27"/>
    </row>
    <row r="909" spans="1:52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42"/>
      <c r="AW909" s="242"/>
      <c r="AX909" s="242"/>
      <c r="AY909" s="27"/>
      <c r="AZ909" s="27"/>
    </row>
    <row r="910" spans="1:52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42"/>
      <c r="AW910" s="242"/>
      <c r="AX910" s="242"/>
      <c r="AY910" s="27"/>
      <c r="AZ910" s="27"/>
    </row>
    <row r="911" spans="1:52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42"/>
      <c r="AW911" s="242"/>
      <c r="AX911" s="242"/>
      <c r="AY911" s="27"/>
      <c r="AZ911" s="27"/>
    </row>
    <row r="912" spans="1:52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42"/>
      <c r="AW912" s="242"/>
      <c r="AX912" s="242"/>
      <c r="AY912" s="27"/>
      <c r="AZ912" s="27"/>
    </row>
    <row r="913" spans="1:52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42"/>
      <c r="AW913" s="242"/>
      <c r="AX913" s="242"/>
      <c r="AY913" s="27"/>
      <c r="AZ913" s="27"/>
    </row>
    <row r="914" spans="1:52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42"/>
      <c r="AW914" s="242"/>
      <c r="AX914" s="242"/>
      <c r="AY914" s="27"/>
      <c r="AZ914" s="27"/>
    </row>
    <row r="915" spans="1:52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42"/>
      <c r="AW915" s="242"/>
      <c r="AX915" s="242"/>
      <c r="AY915" s="27"/>
      <c r="AZ915" s="27"/>
    </row>
    <row r="916" spans="1:52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42"/>
      <c r="AW916" s="242"/>
      <c r="AX916" s="242"/>
      <c r="AY916" s="27"/>
      <c r="AZ916" s="27"/>
    </row>
    <row r="917" spans="1:52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42"/>
      <c r="AW917" s="242"/>
      <c r="AX917" s="242"/>
      <c r="AY917" s="27"/>
      <c r="AZ917" s="27"/>
    </row>
    <row r="918" spans="1:52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42"/>
      <c r="AW918" s="242"/>
      <c r="AX918" s="242"/>
      <c r="AY918" s="27"/>
      <c r="AZ918" s="27"/>
    </row>
    <row r="919" spans="1:52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42"/>
      <c r="AW919" s="242"/>
      <c r="AX919" s="242"/>
      <c r="AY919" s="27"/>
      <c r="AZ919" s="27"/>
    </row>
    <row r="920" spans="1:52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42"/>
      <c r="AW920" s="242"/>
      <c r="AX920" s="242"/>
      <c r="AY920" s="27"/>
      <c r="AZ920" s="27"/>
    </row>
    <row r="921" spans="1:52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42"/>
      <c r="AW921" s="242"/>
      <c r="AX921" s="242"/>
      <c r="AY921" s="27"/>
      <c r="AZ921" s="27"/>
    </row>
    <row r="922" spans="1:52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42"/>
      <c r="AW922" s="242"/>
      <c r="AX922" s="242"/>
      <c r="AY922" s="27"/>
      <c r="AZ922" s="27"/>
    </row>
    <row r="923" spans="1:52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42"/>
      <c r="AW923" s="242"/>
      <c r="AX923" s="242"/>
      <c r="AY923" s="27"/>
      <c r="AZ923" s="27"/>
    </row>
    <row r="924" spans="1:52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42"/>
      <c r="AW924" s="242"/>
      <c r="AX924" s="242"/>
      <c r="AY924" s="27"/>
      <c r="AZ924" s="27"/>
    </row>
    <row r="925" spans="1:52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42"/>
      <c r="AW925" s="242"/>
      <c r="AX925" s="242"/>
      <c r="AY925" s="27"/>
      <c r="AZ925" s="27"/>
    </row>
    <row r="926" spans="1:52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42"/>
      <c r="AW926" s="242"/>
      <c r="AX926" s="242"/>
      <c r="AY926" s="27"/>
      <c r="AZ926" s="27"/>
    </row>
    <row r="927" spans="1:52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42"/>
      <c r="AW927" s="242"/>
      <c r="AX927" s="242"/>
      <c r="AY927" s="27"/>
      <c r="AZ927" s="27"/>
    </row>
    <row r="928" spans="1:52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42"/>
      <c r="AW928" s="242"/>
      <c r="AX928" s="242"/>
      <c r="AY928" s="27"/>
      <c r="AZ928" s="27"/>
    </row>
    <row r="929" spans="1:52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42"/>
      <c r="AW929" s="242"/>
      <c r="AX929" s="242"/>
      <c r="AY929" s="27"/>
      <c r="AZ929" s="27"/>
    </row>
    <row r="930" spans="1:52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42"/>
      <c r="AW930" s="242"/>
      <c r="AX930" s="242"/>
      <c r="AY930" s="27"/>
      <c r="AZ930" s="27"/>
    </row>
    <row r="931" spans="1:52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42"/>
      <c r="AW931" s="242"/>
      <c r="AX931" s="242"/>
      <c r="AY931" s="27"/>
      <c r="AZ931" s="27"/>
    </row>
    <row r="932" spans="1:52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42"/>
      <c r="AW932" s="242"/>
      <c r="AX932" s="242"/>
      <c r="AY932" s="27"/>
      <c r="AZ932" s="27"/>
    </row>
    <row r="933" spans="1:52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42"/>
      <c r="AW933" s="242"/>
      <c r="AX933" s="242"/>
      <c r="AY933" s="27"/>
      <c r="AZ933" s="27"/>
    </row>
    <row r="934" spans="1:52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42"/>
      <c r="AW934" s="242"/>
      <c r="AX934" s="242"/>
      <c r="AY934" s="27"/>
      <c r="AZ934" s="27"/>
    </row>
    <row r="935" spans="1:52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42"/>
      <c r="AW935" s="242"/>
      <c r="AX935" s="242"/>
      <c r="AY935" s="27"/>
      <c r="AZ935" s="27"/>
    </row>
    <row r="936" spans="1:52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42"/>
      <c r="AW936" s="242"/>
      <c r="AX936" s="242"/>
      <c r="AY936" s="27"/>
      <c r="AZ936" s="27"/>
    </row>
    <row r="937" spans="1:52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42"/>
      <c r="AW937" s="242"/>
      <c r="AX937" s="242"/>
      <c r="AY937" s="27"/>
      <c r="AZ937" s="27"/>
    </row>
    <row r="938" spans="1:52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42"/>
      <c r="AW938" s="242"/>
      <c r="AX938" s="242"/>
      <c r="AY938" s="27"/>
      <c r="AZ938" s="27"/>
    </row>
    <row r="939" spans="1:52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42"/>
      <c r="AW939" s="242"/>
      <c r="AX939" s="242"/>
      <c r="AY939" s="27"/>
      <c r="AZ939" s="27"/>
    </row>
    <row r="940" spans="1:52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42"/>
      <c r="AW940" s="242"/>
      <c r="AX940" s="242"/>
      <c r="AY940" s="27"/>
      <c r="AZ940" s="27"/>
    </row>
    <row r="941" spans="1:52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42"/>
      <c r="AW941" s="242"/>
      <c r="AX941" s="242"/>
      <c r="AY941" s="27"/>
      <c r="AZ941" s="27"/>
    </row>
    <row r="942" spans="1:52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42"/>
      <c r="AW942" s="242"/>
      <c r="AX942" s="242"/>
      <c r="AY942" s="27"/>
      <c r="AZ942" s="27"/>
    </row>
    <row r="943" spans="1:52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42"/>
      <c r="AW943" s="242"/>
      <c r="AX943" s="242"/>
      <c r="AY943" s="27"/>
      <c r="AZ943" s="27"/>
    </row>
    <row r="944" spans="1:52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42"/>
      <c r="AW944" s="242"/>
      <c r="AX944" s="242"/>
      <c r="AY944" s="27"/>
      <c r="AZ944" s="27"/>
    </row>
    <row r="945" spans="1:52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42"/>
      <c r="AW945" s="242"/>
      <c r="AX945" s="242"/>
      <c r="AY945" s="27"/>
      <c r="AZ945" s="27"/>
    </row>
    <row r="946" spans="1:52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42"/>
      <c r="AW946" s="242"/>
      <c r="AX946" s="242"/>
      <c r="AY946" s="27"/>
      <c r="AZ946" s="27"/>
    </row>
    <row r="947" spans="1:5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42"/>
      <c r="AW947" s="242"/>
      <c r="AX947" s="242"/>
      <c r="AY947" s="27"/>
      <c r="AZ947" s="27"/>
    </row>
    <row r="948" spans="1:5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42"/>
      <c r="AW948" s="242"/>
      <c r="AX948" s="242"/>
      <c r="AY948" s="27"/>
      <c r="AZ948" s="27"/>
    </row>
    <row r="949" spans="1:52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42"/>
      <c r="AW949" s="242"/>
      <c r="AX949" s="242"/>
      <c r="AY949" s="27"/>
      <c r="AZ949" s="27"/>
    </row>
    <row r="950" spans="1:52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42"/>
      <c r="AW950" s="242"/>
      <c r="AX950" s="242"/>
      <c r="AY950" s="27"/>
      <c r="AZ950" s="27"/>
    </row>
    <row r="951" spans="1:52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42"/>
      <c r="AW951" s="242"/>
      <c r="AX951" s="242"/>
      <c r="AY951" s="27"/>
      <c r="AZ951" s="27"/>
    </row>
    <row r="952" spans="1:52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42"/>
      <c r="AW952" s="242"/>
      <c r="AX952" s="242"/>
      <c r="AY952" s="27"/>
      <c r="AZ952" s="27"/>
    </row>
    <row r="953" spans="1:52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42"/>
      <c r="AW953" s="242"/>
      <c r="AX953" s="242"/>
      <c r="AY953" s="27"/>
      <c r="AZ953" s="27"/>
    </row>
    <row r="954" spans="1:52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42"/>
      <c r="AW954" s="242"/>
      <c r="AX954" s="242"/>
      <c r="AY954" s="27"/>
      <c r="AZ954" s="27"/>
    </row>
    <row r="955" spans="1:52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42"/>
      <c r="AW955" s="242"/>
      <c r="AX955" s="242"/>
      <c r="AY955" s="27"/>
      <c r="AZ955" s="27"/>
    </row>
    <row r="956" spans="1:52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42"/>
      <c r="AW956" s="242"/>
      <c r="AX956" s="242"/>
      <c r="AY956" s="27"/>
      <c r="AZ956" s="27"/>
    </row>
    <row r="957" spans="1:52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42"/>
      <c r="AW957" s="242"/>
      <c r="AX957" s="242"/>
      <c r="AY957" s="27"/>
      <c r="AZ957" s="27"/>
    </row>
    <row r="958" spans="1:5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42"/>
      <c r="AW958" s="242"/>
      <c r="AX958" s="242"/>
      <c r="AY958" s="27"/>
      <c r="AZ958" s="27"/>
    </row>
    <row r="959" spans="1:5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42"/>
      <c r="AW959" s="242"/>
      <c r="AX959" s="242"/>
      <c r="AY959" s="27"/>
      <c r="AZ959" s="27"/>
    </row>
    <row r="960" spans="1:52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42"/>
      <c r="AW960" s="242"/>
      <c r="AX960" s="242"/>
      <c r="AY960" s="27"/>
      <c r="AZ960" s="27"/>
    </row>
    <row r="961" spans="1:5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42"/>
      <c r="AW961" s="242"/>
      <c r="AX961" s="242"/>
      <c r="AY961" s="27"/>
      <c r="AZ961" s="27"/>
    </row>
    <row r="962" spans="1:5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42"/>
      <c r="AW962" s="242"/>
      <c r="AX962" s="242"/>
      <c r="AY962" s="27"/>
      <c r="AZ962" s="27"/>
    </row>
    <row r="963" spans="1:52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42"/>
      <c r="AW963" s="242"/>
      <c r="AX963" s="242"/>
      <c r="AY963" s="27"/>
      <c r="AZ963" s="27"/>
    </row>
    <row r="964" spans="1:52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42"/>
      <c r="AW964" s="242"/>
      <c r="AX964" s="242"/>
      <c r="AY964" s="27"/>
      <c r="AZ964" s="27"/>
    </row>
    <row r="965" spans="1:52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42"/>
      <c r="AW965" s="242"/>
      <c r="AX965" s="242"/>
      <c r="AY965" s="27"/>
      <c r="AZ965" s="27"/>
    </row>
    <row r="966" spans="1:52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42"/>
      <c r="AW966" s="242"/>
      <c r="AX966" s="242"/>
      <c r="AY966" s="27"/>
      <c r="AZ966" s="27"/>
    </row>
    <row r="967" spans="1:52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42"/>
      <c r="AW967" s="242"/>
      <c r="AX967" s="242"/>
      <c r="AY967" s="27"/>
      <c r="AZ967" s="27"/>
    </row>
    <row r="968" spans="1:52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42"/>
      <c r="AW968" s="242"/>
      <c r="AX968" s="242"/>
      <c r="AY968" s="27"/>
      <c r="AZ968" s="27"/>
    </row>
    <row r="969" spans="1:52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42"/>
      <c r="AW969" s="242"/>
      <c r="AX969" s="242"/>
      <c r="AY969" s="27"/>
      <c r="AZ969" s="27"/>
    </row>
    <row r="970" spans="1:5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42"/>
      <c r="AW970" s="242"/>
      <c r="AX970" s="242"/>
      <c r="AY970" s="27"/>
      <c r="AZ970" s="27"/>
    </row>
    <row r="971" spans="1:52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42"/>
      <c r="AW971" s="242"/>
      <c r="AX971" s="242"/>
      <c r="AY971" s="27"/>
      <c r="AZ971" s="27"/>
    </row>
    <row r="972" spans="1:5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42"/>
      <c r="AW972" s="242"/>
      <c r="AX972" s="242"/>
      <c r="AY972" s="27"/>
      <c r="AZ972" s="27"/>
    </row>
    <row r="973" spans="1:5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42"/>
      <c r="AW973" s="242"/>
      <c r="AX973" s="242"/>
      <c r="AY973" s="27"/>
      <c r="AZ973" s="27"/>
    </row>
    <row r="974" spans="1:5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42"/>
      <c r="AW974" s="242"/>
      <c r="AX974" s="242"/>
      <c r="AY974" s="27"/>
      <c r="AZ974" s="27"/>
    </row>
    <row r="975" spans="1:5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42"/>
      <c r="AW975" s="242"/>
      <c r="AX975" s="242"/>
      <c r="AY975" s="27"/>
      <c r="AZ975" s="27"/>
    </row>
    <row r="976" spans="1:5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42"/>
      <c r="AW976" s="242"/>
      <c r="AX976" s="242"/>
      <c r="AY976" s="27"/>
      <c r="AZ976" s="27"/>
    </row>
    <row r="977" spans="1:5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42"/>
      <c r="AW977" s="242"/>
      <c r="AX977" s="242"/>
      <c r="AY977" s="27"/>
      <c r="AZ977" s="27"/>
    </row>
    <row r="978" spans="1:52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42"/>
      <c r="AW978" s="242"/>
      <c r="AX978" s="242"/>
      <c r="AY978" s="27"/>
      <c r="AZ978" s="27"/>
    </row>
    <row r="979" spans="1:52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42"/>
      <c r="AW979" s="242"/>
      <c r="AX979" s="242"/>
      <c r="AY979" s="27"/>
      <c r="AZ979" s="27"/>
    </row>
    <row r="980" spans="1:52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42"/>
      <c r="AW980" s="242"/>
      <c r="AX980" s="242"/>
      <c r="AY980" s="27"/>
      <c r="AZ980" s="27"/>
    </row>
    <row r="981" spans="1:5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42"/>
      <c r="AW981" s="242"/>
      <c r="AX981" s="242"/>
      <c r="AY981" s="27"/>
      <c r="AZ981" s="27"/>
    </row>
    <row r="982" spans="1:5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42"/>
      <c r="AW982" s="242"/>
      <c r="AX982" s="242"/>
      <c r="AY982" s="27"/>
      <c r="AZ982" s="27"/>
    </row>
    <row r="983" spans="1:52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42"/>
      <c r="AW983" s="242"/>
      <c r="AX983" s="242"/>
      <c r="AY983" s="27"/>
      <c r="AZ983" s="27"/>
    </row>
    <row r="984" spans="1:5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42"/>
      <c r="AW984" s="242"/>
      <c r="AX984" s="242"/>
      <c r="AY984" s="27"/>
      <c r="AZ984" s="27"/>
    </row>
    <row r="985" spans="1:52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42"/>
      <c r="AW985" s="242"/>
      <c r="AX985" s="242"/>
      <c r="AY985" s="27"/>
      <c r="AZ985" s="27"/>
    </row>
    <row r="986" spans="1:52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42"/>
      <c r="AW986" s="242"/>
      <c r="AX986" s="242"/>
      <c r="AY986" s="27"/>
      <c r="AZ986" s="27"/>
    </row>
    <row r="987" spans="1:52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42"/>
      <c r="AW987" s="242"/>
      <c r="AX987" s="242"/>
      <c r="AY987" s="27"/>
      <c r="AZ987" s="27"/>
    </row>
    <row r="988" spans="1:52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42"/>
      <c r="AW988" s="242"/>
      <c r="AX988" s="242"/>
      <c r="AY988" s="27"/>
      <c r="AZ988" s="27"/>
    </row>
    <row r="989" spans="1:52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42"/>
      <c r="AW989" s="242"/>
      <c r="AX989" s="242"/>
      <c r="AY989" s="27"/>
      <c r="AZ989" s="27"/>
    </row>
    <row r="990" spans="1:52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42"/>
      <c r="AW990" s="242"/>
      <c r="AX990" s="242"/>
      <c r="AY990" s="27"/>
      <c r="AZ990" s="27"/>
    </row>
    <row r="991" spans="1:52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42"/>
      <c r="AW991" s="242"/>
      <c r="AX991" s="242"/>
      <c r="AY991" s="27"/>
      <c r="AZ991" s="27"/>
    </row>
    <row r="992" spans="1:52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42"/>
      <c r="AW992" s="242"/>
      <c r="AX992" s="242"/>
      <c r="AY992" s="27"/>
      <c r="AZ992" s="27"/>
    </row>
    <row r="993" spans="1:52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42"/>
      <c r="AW993" s="242"/>
      <c r="AX993" s="242"/>
      <c r="AY993" s="27"/>
      <c r="AZ993" s="27"/>
    </row>
    <row r="994" spans="1:52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42"/>
      <c r="AW994" s="242"/>
      <c r="AX994" s="242"/>
      <c r="AY994" s="27"/>
      <c r="AZ994" s="27"/>
    </row>
    <row r="995" spans="1:52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42"/>
      <c r="AW995" s="242"/>
      <c r="AX995" s="242"/>
      <c r="AY995" s="27"/>
      <c r="AZ995" s="27"/>
    </row>
    <row r="996" spans="1:52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42"/>
      <c r="AW996" s="242"/>
      <c r="AX996" s="242"/>
      <c r="AY996" s="27"/>
      <c r="AZ996" s="27"/>
    </row>
    <row r="997" spans="1:52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42"/>
      <c r="AW997" s="242"/>
      <c r="AX997" s="242"/>
      <c r="AY997" s="27"/>
      <c r="AZ997" s="27"/>
    </row>
    <row r="998" spans="1:52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42"/>
      <c r="AW998" s="242"/>
      <c r="AX998" s="242"/>
      <c r="AY998" s="27"/>
      <c r="AZ998" s="27"/>
    </row>
    <row r="999" spans="1:52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42"/>
      <c r="AW999" s="242"/>
      <c r="AX999" s="242"/>
      <c r="AY999" s="27"/>
      <c r="AZ999" s="27"/>
    </row>
    <row r="1000" spans="1:52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42"/>
      <c r="AW1000" s="242"/>
      <c r="AX1000" s="242"/>
      <c r="AY1000" s="27"/>
      <c r="AZ1000" s="27"/>
    </row>
  </sheetData>
  <sheetProtection algorithmName="SHA-512" hashValue="1/lBVwNxHPCWZLc5LF3l1i3tR0VfByDFTulee4n8co8CvZd+9p18bBnDantBp17+6yBcvganqwTmJnZFvzXvZg==" saltValue="tgWIaZp/SR8jnqFiviLaYg==" spinCount="100000" sheet="1" objects="1" scenarios="1"/>
  <mergeCells count="57">
    <mergeCell ref="M23:M25"/>
    <mergeCell ref="L23:L25"/>
    <mergeCell ref="L26:L27"/>
    <mergeCell ref="T30:T31"/>
    <mergeCell ref="T32:T35"/>
    <mergeCell ref="T23:T25"/>
    <mergeCell ref="O26:O27"/>
    <mergeCell ref="P28:P29"/>
    <mergeCell ref="T28:T29"/>
    <mergeCell ref="L54:O54"/>
    <mergeCell ref="AQ43:AT44"/>
    <mergeCell ref="A23:A36"/>
    <mergeCell ref="A10:A21"/>
    <mergeCell ref="X4:Z4"/>
    <mergeCell ref="P8:P9"/>
    <mergeCell ref="Q8:Q9"/>
    <mergeCell ref="R8:R9"/>
    <mergeCell ref="S8:S9"/>
    <mergeCell ref="E3:L4"/>
    <mergeCell ref="K8:K9"/>
    <mergeCell ref="G8:G9"/>
    <mergeCell ref="H8:H9"/>
    <mergeCell ref="L8:L9"/>
    <mergeCell ref="T8:T9"/>
    <mergeCell ref="I8:I9"/>
    <mergeCell ref="O8:O9"/>
    <mergeCell ref="T26:T27"/>
    <mergeCell ref="H23:H36"/>
    <mergeCell ref="H10:H21"/>
    <mergeCell ref="K10:K21"/>
    <mergeCell ref="J10:J21"/>
    <mergeCell ref="I10:I21"/>
    <mergeCell ref="K23:K36"/>
    <mergeCell ref="J23:J36"/>
    <mergeCell ref="J8:J9"/>
    <mergeCell ref="Q30:Q31"/>
    <mergeCell ref="R32:R35"/>
    <mergeCell ref="N23:N25"/>
    <mergeCell ref="I23:I36"/>
    <mergeCell ref="N8:N9"/>
    <mergeCell ref="M8:M9"/>
    <mergeCell ref="C42:H43"/>
    <mergeCell ref="D7:T7"/>
    <mergeCell ref="L10:L21"/>
    <mergeCell ref="N3:T3"/>
    <mergeCell ref="L45:O45"/>
    <mergeCell ref="M32:M35"/>
    <mergeCell ref="M30:M31"/>
    <mergeCell ref="M28:M29"/>
    <mergeCell ref="M26:M27"/>
    <mergeCell ref="L32:L35"/>
    <mergeCell ref="L30:L31"/>
    <mergeCell ref="L28:L29"/>
    <mergeCell ref="L44:O44"/>
    <mergeCell ref="L43:O43"/>
    <mergeCell ref="L42:O42"/>
    <mergeCell ref="L41:U41"/>
  </mergeCells>
  <pageMargins left="0.15748031496062992" right="0.15748031496062992" top="0.19685039370078741" bottom="0.19685039370078741" header="0" footer="0"/>
  <pageSetup scale="85" orientation="landscape" r:id="rId1"/>
  <ignoredErrors>
    <ignoredError sqref="F22:G22 D22:E22 J37 E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1454"/>
  <sheetViews>
    <sheetView zoomScale="90" zoomScaleNormal="9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3.7109375" customWidth="1"/>
    <col min="3" max="3" width="18.7109375" customWidth="1"/>
    <col min="4" max="4" width="44.42578125" customWidth="1"/>
    <col min="5" max="5" width="14.42578125" customWidth="1"/>
    <col min="6" max="6" width="21.140625" customWidth="1"/>
    <col min="7" max="7" width="26.42578125" customWidth="1"/>
    <col min="8" max="8" width="28.85546875" hidden="1" customWidth="1"/>
    <col min="9" max="9" width="17.28515625" hidden="1" customWidth="1"/>
    <col min="10" max="10" width="16.7109375" hidden="1" customWidth="1"/>
    <col min="11" max="11" width="14.42578125" customWidth="1"/>
    <col min="12" max="12" width="23.85546875" customWidth="1"/>
    <col min="13" max="13" width="15.140625" customWidth="1"/>
    <col min="14" max="14" width="16" bestFit="1" customWidth="1"/>
    <col min="15" max="15" width="14.28515625" bestFit="1" customWidth="1"/>
    <col min="16" max="16" width="19" customWidth="1"/>
    <col min="17" max="17" width="15.85546875" customWidth="1"/>
    <col min="18" max="18" width="17" customWidth="1"/>
    <col min="19" max="20" width="11.42578125" customWidth="1"/>
    <col min="21" max="21" width="14.7109375" customWidth="1"/>
    <col min="22" max="22" width="12.85546875" customWidth="1"/>
    <col min="23" max="23" width="17" customWidth="1"/>
    <col min="24" max="24" width="15.85546875" customWidth="1"/>
    <col min="25" max="25" width="15.5703125" customWidth="1"/>
    <col min="26" max="26" width="13.85546875" customWidth="1"/>
  </cols>
  <sheetData>
    <row r="1" spans="1:26" ht="43.5" customHeight="1" x14ac:dyDescent="0.25">
      <c r="A1" s="455" t="s">
        <v>847</v>
      </c>
      <c r="B1" s="456"/>
      <c r="C1" s="456"/>
      <c r="D1" s="456"/>
      <c r="E1" s="456"/>
      <c r="F1" s="456"/>
      <c r="G1" s="457"/>
      <c r="H1" s="37"/>
      <c r="I1" s="37"/>
      <c r="J1" s="3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2.75" customHeight="1" thickBot="1" x14ac:dyDescent="0.3">
      <c r="A2" s="39" t="s">
        <v>270</v>
      </c>
      <c r="B2" s="40" t="s">
        <v>271</v>
      </c>
      <c r="C2" s="40" t="s">
        <v>18</v>
      </c>
      <c r="D2" s="40" t="s">
        <v>272</v>
      </c>
      <c r="E2" s="40" t="s">
        <v>273</v>
      </c>
      <c r="F2" s="41" t="s">
        <v>274</v>
      </c>
      <c r="G2" s="42" t="s">
        <v>275</v>
      </c>
      <c r="H2" s="37"/>
      <c r="I2" s="37"/>
      <c r="J2" s="3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2.75" customHeight="1" x14ac:dyDescent="0.25">
      <c r="A3" s="279">
        <v>1</v>
      </c>
      <c r="B3" s="276" t="s">
        <v>20</v>
      </c>
      <c r="C3" s="45" t="str">
        <f t="shared" ref="C3:C66" si="0">I3</f>
        <v>6UACETIOX</v>
      </c>
      <c r="D3" s="45"/>
      <c r="E3" s="46">
        <f>+'CALCULO TARIFAS CC '!$U$45</f>
        <v>0.82386810577067515</v>
      </c>
      <c r="F3" s="47">
        <f t="shared" ref="F3:F34" si="1">ROUND(J3,4)</f>
        <v>632.35450000000003</v>
      </c>
      <c r="G3" s="48">
        <f t="shared" ref="G3:G272" si="2">+ROUND(F3*E3,2)</f>
        <v>520.98</v>
      </c>
      <c r="H3" s="49" t="s">
        <v>276</v>
      </c>
      <c r="I3" s="27" t="s">
        <v>35</v>
      </c>
      <c r="J3" s="27">
        <v>632.35454730000004</v>
      </c>
      <c r="K3" s="38"/>
      <c r="L3" s="340"/>
      <c r="M3" s="268"/>
      <c r="N3" s="269"/>
      <c r="O3" s="269"/>
      <c r="P3" s="283"/>
      <c r="Q3" s="269"/>
      <c r="R3" s="269"/>
      <c r="S3" s="38"/>
      <c r="T3" s="38"/>
      <c r="U3" s="38"/>
      <c r="V3" s="38"/>
      <c r="W3" s="38"/>
      <c r="X3" s="38"/>
      <c r="Y3" s="38"/>
      <c r="Z3" s="38"/>
    </row>
    <row r="4" spans="1:26" x14ac:dyDescent="0.25">
      <c r="A4" s="280">
        <f>A3+1</f>
        <v>2</v>
      </c>
      <c r="B4" s="277"/>
      <c r="C4" s="52" t="str">
        <f t="shared" si="0"/>
        <v>6UACMARRI97</v>
      </c>
      <c r="D4" s="52"/>
      <c r="E4" s="53">
        <f>+'CALCULO TARIFAS CC '!$U$45</f>
        <v>0.82386810577067515</v>
      </c>
      <c r="F4" s="54">
        <f t="shared" si="1"/>
        <v>82.2864</v>
      </c>
      <c r="G4" s="55">
        <f t="shared" si="2"/>
        <v>67.790000000000006</v>
      </c>
      <c r="H4" s="49" t="s">
        <v>276</v>
      </c>
      <c r="I4" s="27" t="s">
        <v>597</v>
      </c>
      <c r="J4" s="27">
        <v>82.286391300000005</v>
      </c>
      <c r="K4" s="38"/>
      <c r="L4" s="381"/>
      <c r="M4" s="268"/>
      <c r="N4" s="269"/>
      <c r="O4" s="269"/>
      <c r="P4" s="283"/>
      <c r="Q4" s="269"/>
      <c r="R4" s="269"/>
      <c r="S4" s="38"/>
      <c r="T4" s="38"/>
      <c r="U4" s="38"/>
      <c r="V4" s="38"/>
      <c r="W4" s="38"/>
      <c r="X4" s="38"/>
      <c r="Y4" s="38"/>
      <c r="Z4" s="38"/>
    </row>
    <row r="5" spans="1:26" x14ac:dyDescent="0.25">
      <c r="A5" s="280">
        <f t="shared" ref="A5:A68" si="3">A4+1</f>
        <v>3</v>
      </c>
      <c r="B5" s="277"/>
      <c r="C5" s="52" t="str">
        <f t="shared" si="0"/>
        <v>6GACP</v>
      </c>
      <c r="D5" s="52"/>
      <c r="E5" s="53">
        <f>+'CALCULO TARIFAS CC '!$U$45</f>
        <v>0.82386810577067515</v>
      </c>
      <c r="F5" s="54">
        <f t="shared" si="1"/>
        <v>146.27369999999999</v>
      </c>
      <c r="G5" s="55">
        <f t="shared" si="2"/>
        <v>120.51</v>
      </c>
      <c r="H5" s="49" t="s">
        <v>276</v>
      </c>
      <c r="I5" s="27" t="s">
        <v>669</v>
      </c>
      <c r="J5" s="27">
        <v>146.27371059999999</v>
      </c>
      <c r="K5" s="38"/>
      <c r="L5" s="381"/>
      <c r="M5" s="268"/>
      <c r="N5" s="269"/>
      <c r="O5" s="269"/>
      <c r="P5" s="283"/>
      <c r="Q5" s="269"/>
      <c r="R5" s="269"/>
      <c r="S5" s="38"/>
      <c r="T5" s="38"/>
      <c r="U5" s="38"/>
      <c r="V5" s="38"/>
      <c r="W5" s="38"/>
      <c r="X5" s="38"/>
      <c r="Y5" s="38"/>
      <c r="Z5" s="38"/>
    </row>
    <row r="6" spans="1:26" x14ac:dyDescent="0.25">
      <c r="A6" s="280">
        <f t="shared" si="3"/>
        <v>4</v>
      </c>
      <c r="B6" s="277"/>
      <c r="C6" s="52" t="str">
        <f t="shared" si="0"/>
        <v>6GAES</v>
      </c>
      <c r="D6" s="52"/>
      <c r="E6" s="53">
        <f>+'CALCULO TARIFAS CC '!$U$45</f>
        <v>0.82386810577067515</v>
      </c>
      <c r="F6" s="54">
        <f t="shared" si="1"/>
        <v>468.29739999999998</v>
      </c>
      <c r="G6" s="55">
        <f t="shared" si="2"/>
        <v>385.82</v>
      </c>
      <c r="H6" s="49" t="s">
        <v>276</v>
      </c>
      <c r="I6" s="27" t="s">
        <v>24</v>
      </c>
      <c r="J6" s="27">
        <v>468.297394</v>
      </c>
      <c r="K6" s="38"/>
      <c r="L6" s="381"/>
      <c r="M6" s="268"/>
      <c r="N6" s="269"/>
      <c r="O6" s="269"/>
      <c r="P6" s="283"/>
      <c r="Q6" s="269"/>
      <c r="R6" s="269"/>
      <c r="S6" s="38"/>
      <c r="T6" s="38"/>
      <c r="U6" s="38"/>
      <c r="V6" s="38"/>
      <c r="W6" s="38"/>
      <c r="X6" s="38"/>
      <c r="Y6" s="38"/>
      <c r="Z6" s="38"/>
    </row>
    <row r="7" spans="1:26" x14ac:dyDescent="0.25">
      <c r="A7" s="280">
        <f t="shared" si="3"/>
        <v>5</v>
      </c>
      <c r="B7" s="277"/>
      <c r="C7" s="52" t="str">
        <f t="shared" si="0"/>
        <v>6GAES-CHANG</v>
      </c>
      <c r="D7" s="52"/>
      <c r="E7" s="53">
        <f>+'CALCULO TARIFAS CC '!$U$45</f>
        <v>0.82386810577067515</v>
      </c>
      <c r="F7" s="54">
        <f t="shared" si="1"/>
        <v>59.0184</v>
      </c>
      <c r="G7" s="55">
        <f t="shared" si="2"/>
        <v>48.62</v>
      </c>
      <c r="H7" s="49" t="s">
        <v>276</v>
      </c>
      <c r="I7" s="27" t="s">
        <v>25</v>
      </c>
      <c r="J7" s="27">
        <v>59.018358999999997</v>
      </c>
      <c r="K7" s="38"/>
      <c r="L7" s="381"/>
      <c r="M7" s="268"/>
      <c r="N7" s="269"/>
      <c r="O7" s="269"/>
      <c r="P7" s="283"/>
      <c r="Q7" s="269"/>
      <c r="R7" s="269"/>
      <c r="S7" s="38"/>
      <c r="T7" s="38"/>
      <c r="U7" s="38"/>
      <c r="V7" s="38"/>
      <c r="W7" s="38"/>
      <c r="X7" s="38"/>
      <c r="Y7" s="38"/>
      <c r="Z7" s="38"/>
    </row>
    <row r="8" spans="1:26" x14ac:dyDescent="0.25">
      <c r="A8" s="280">
        <f t="shared" si="3"/>
        <v>6</v>
      </c>
      <c r="B8" s="277"/>
      <c r="C8" s="52" t="str">
        <f t="shared" si="0"/>
        <v>6UAGCEDICAR</v>
      </c>
      <c r="D8" s="52"/>
      <c r="E8" s="53">
        <f>+'CALCULO TARIFAS CC '!$U$45</f>
        <v>0.82386810577067515</v>
      </c>
      <c r="F8" s="54">
        <f t="shared" si="1"/>
        <v>175.89789999999999</v>
      </c>
      <c r="G8" s="55">
        <f t="shared" si="2"/>
        <v>144.91999999999999</v>
      </c>
      <c r="H8" s="49" t="s">
        <v>276</v>
      </c>
      <c r="I8" s="27" t="s">
        <v>704</v>
      </c>
      <c r="J8" s="27">
        <v>175.8979033</v>
      </c>
      <c r="K8" s="38"/>
      <c r="L8" s="381"/>
      <c r="M8" s="268"/>
      <c r="N8" s="269"/>
      <c r="O8" s="269"/>
      <c r="P8" s="283"/>
      <c r="Q8" s="269"/>
      <c r="R8" s="269"/>
      <c r="S8" s="38"/>
      <c r="T8" s="38"/>
      <c r="U8" s="38"/>
      <c r="V8" s="38"/>
      <c r="W8" s="38"/>
      <c r="X8" s="38"/>
      <c r="Y8" s="38"/>
      <c r="Z8" s="38"/>
    </row>
    <row r="9" spans="1:26" x14ac:dyDescent="0.25">
      <c r="A9" s="280">
        <f t="shared" si="3"/>
        <v>7</v>
      </c>
      <c r="B9" s="277"/>
      <c r="C9" s="52" t="str">
        <f t="shared" si="0"/>
        <v>6UAGDAVID</v>
      </c>
      <c r="D9" s="52"/>
      <c r="E9" s="53">
        <f>+'CALCULO TARIFAS CC '!$U$45</f>
        <v>0.82386810577067515</v>
      </c>
      <c r="F9" s="54">
        <f t="shared" si="1"/>
        <v>242.7236</v>
      </c>
      <c r="G9" s="55">
        <f>+ROUND(F9*E9,2)</f>
        <v>199.97</v>
      </c>
      <c r="H9" s="49" t="s">
        <v>276</v>
      </c>
      <c r="I9" s="27" t="s">
        <v>705</v>
      </c>
      <c r="J9" s="27">
        <v>242.72355820000001</v>
      </c>
      <c r="K9" s="38"/>
      <c r="L9" s="381"/>
      <c r="M9" s="268"/>
      <c r="N9" s="269"/>
      <c r="O9" s="269"/>
      <c r="P9" s="283"/>
      <c r="Q9" s="269"/>
      <c r="R9" s="269"/>
      <c r="S9" s="38"/>
      <c r="T9" s="38"/>
      <c r="U9" s="38"/>
      <c r="V9" s="38"/>
      <c r="W9" s="38"/>
      <c r="X9" s="38"/>
      <c r="Y9" s="38"/>
      <c r="Z9" s="38"/>
    </row>
    <row r="10" spans="1:26" x14ac:dyDescent="0.25">
      <c r="A10" s="280">
        <f t="shared" si="3"/>
        <v>8</v>
      </c>
      <c r="B10" s="277"/>
      <c r="C10" s="52" t="str">
        <f t="shared" si="0"/>
        <v>6UAGPLANTAC</v>
      </c>
      <c r="D10" s="52"/>
      <c r="E10" s="53">
        <f>+'CALCULO TARIFAS CC '!$U$45</f>
        <v>0.82386810577067515</v>
      </c>
      <c r="F10" s="54">
        <f t="shared" si="1"/>
        <v>163.14859999999999</v>
      </c>
      <c r="G10" s="55">
        <f t="shared" si="2"/>
        <v>134.41</v>
      </c>
      <c r="H10" s="49" t="s">
        <v>276</v>
      </c>
      <c r="I10" s="27" t="s">
        <v>706</v>
      </c>
      <c r="J10" s="27">
        <v>163.14857119999999</v>
      </c>
      <c r="K10" s="38"/>
      <c r="L10" s="381"/>
      <c r="M10" s="268"/>
      <c r="N10" s="269"/>
      <c r="O10" s="269"/>
      <c r="P10" s="283"/>
      <c r="Q10" s="269"/>
      <c r="R10" s="269"/>
      <c r="S10" s="38"/>
      <c r="T10" s="38"/>
      <c r="U10" s="38"/>
      <c r="V10" s="38"/>
      <c r="W10" s="38"/>
      <c r="X10" s="38"/>
      <c r="Y10" s="38"/>
      <c r="Z10" s="38"/>
    </row>
    <row r="11" spans="1:26" x14ac:dyDescent="0.25">
      <c r="A11" s="280">
        <f t="shared" si="3"/>
        <v>9</v>
      </c>
      <c r="B11" s="277"/>
      <c r="C11" s="52" t="str">
        <f t="shared" si="0"/>
        <v>6UAGROIND</v>
      </c>
      <c r="D11" s="52"/>
      <c r="E11" s="53">
        <f>+'CALCULO TARIFAS CC '!$U$45</f>
        <v>0.82386810577067515</v>
      </c>
      <c r="F11" s="54">
        <f t="shared" si="1"/>
        <v>250.45529999999999</v>
      </c>
      <c r="G11" s="55">
        <f t="shared" si="2"/>
        <v>206.34</v>
      </c>
      <c r="H11" s="49" t="s">
        <v>276</v>
      </c>
      <c r="I11" s="27" t="s">
        <v>354</v>
      </c>
      <c r="J11" s="27">
        <v>250.4552774</v>
      </c>
      <c r="K11" s="38"/>
      <c r="L11" s="381"/>
      <c r="M11" s="268"/>
      <c r="N11" s="269"/>
      <c r="O11" s="269"/>
      <c r="P11" s="283"/>
      <c r="Q11" s="269"/>
      <c r="R11" s="269"/>
      <c r="S11" s="38"/>
      <c r="T11" s="38"/>
      <c r="U11" s="38"/>
      <c r="V11" s="38"/>
      <c r="W11" s="38"/>
      <c r="X11" s="38"/>
      <c r="Y11" s="38"/>
      <c r="Z11" s="38"/>
    </row>
    <row r="12" spans="1:26" x14ac:dyDescent="0.25">
      <c r="A12" s="280">
        <f t="shared" si="3"/>
        <v>10</v>
      </c>
      <c r="B12" s="277"/>
      <c r="C12" s="52" t="str">
        <f t="shared" si="0"/>
        <v>6UAHUEFER85</v>
      </c>
      <c r="D12" s="52"/>
      <c r="E12" s="53">
        <f>+'CALCULO TARIFAS CC '!$U$45</f>
        <v>0.82386810577067515</v>
      </c>
      <c r="F12" s="54">
        <f t="shared" si="1"/>
        <v>69.894099999999995</v>
      </c>
      <c r="G12" s="55">
        <f t="shared" si="2"/>
        <v>57.58</v>
      </c>
      <c r="H12" s="49" t="s">
        <v>276</v>
      </c>
      <c r="I12" s="27" t="s">
        <v>637</v>
      </c>
      <c r="J12" s="27">
        <v>69.894068099999998</v>
      </c>
      <c r="K12" s="38"/>
      <c r="L12" s="381"/>
      <c r="M12" s="268"/>
      <c r="N12" s="269"/>
      <c r="O12" s="269"/>
      <c r="P12" s="283"/>
      <c r="Q12" s="269"/>
      <c r="R12" s="269"/>
      <c r="S12" s="38"/>
      <c r="T12" s="38"/>
      <c r="U12" s="38"/>
      <c r="V12" s="38"/>
      <c r="W12" s="38"/>
      <c r="X12" s="38"/>
      <c r="Y12" s="38"/>
      <c r="Z12" s="38"/>
    </row>
    <row r="13" spans="1:26" x14ac:dyDescent="0.25">
      <c r="A13" s="280">
        <f t="shared" si="3"/>
        <v>11</v>
      </c>
      <c r="B13" s="277"/>
      <c r="C13" s="52" t="str">
        <f t="shared" si="0"/>
        <v>6UALICAPCEDI</v>
      </c>
      <c r="D13" s="52"/>
      <c r="E13" s="53">
        <f>+'CALCULO TARIFAS CC '!$U$45</f>
        <v>0.82386810577067515</v>
      </c>
      <c r="F13" s="54">
        <f t="shared" si="1"/>
        <v>98.535399999999996</v>
      </c>
      <c r="G13" s="55">
        <f t="shared" si="2"/>
        <v>81.180000000000007</v>
      </c>
      <c r="H13" s="49" t="s">
        <v>276</v>
      </c>
      <c r="I13" s="27" t="s">
        <v>848</v>
      </c>
      <c r="J13" s="27">
        <v>98.535385399999996</v>
      </c>
      <c r="K13" s="38"/>
      <c r="L13" s="381"/>
      <c r="M13" s="268"/>
      <c r="N13" s="269"/>
      <c r="O13" s="269"/>
      <c r="P13" s="283"/>
      <c r="Q13" s="269"/>
      <c r="R13" s="269"/>
      <c r="S13" s="38"/>
      <c r="T13" s="38"/>
      <c r="U13" s="38"/>
      <c r="V13" s="38"/>
      <c r="W13" s="38"/>
      <c r="X13" s="38"/>
      <c r="Y13" s="38"/>
      <c r="Z13" s="38"/>
    </row>
    <row r="14" spans="1:26" x14ac:dyDescent="0.25">
      <c r="A14" s="280">
        <f t="shared" si="3"/>
        <v>12</v>
      </c>
      <c r="B14" s="277"/>
      <c r="C14" s="52" t="str">
        <f t="shared" si="0"/>
        <v>6UALMACENAJE</v>
      </c>
      <c r="D14" s="52"/>
      <c r="E14" s="53">
        <f>+'CALCULO TARIFAS CC '!$U$45</f>
        <v>0.82386810577067515</v>
      </c>
      <c r="F14" s="54">
        <f t="shared" si="1"/>
        <v>39.316899999999997</v>
      </c>
      <c r="G14" s="55">
        <f t="shared" si="2"/>
        <v>32.39</v>
      </c>
      <c r="H14" s="49" t="s">
        <v>276</v>
      </c>
      <c r="I14" s="27" t="s">
        <v>786</v>
      </c>
      <c r="J14" s="27">
        <v>39.316935000000001</v>
      </c>
      <c r="K14" s="38"/>
      <c r="L14" s="381"/>
      <c r="M14" s="268"/>
      <c r="N14" s="269"/>
      <c r="O14" s="269"/>
      <c r="P14" s="283"/>
      <c r="Q14" s="269"/>
      <c r="R14" s="269"/>
      <c r="S14" s="38"/>
      <c r="T14" s="38"/>
      <c r="U14" s="38"/>
      <c r="V14" s="38"/>
      <c r="W14" s="38"/>
      <c r="X14" s="38"/>
      <c r="Y14" s="38"/>
      <c r="Z14" s="38"/>
    </row>
    <row r="15" spans="1:26" x14ac:dyDescent="0.25">
      <c r="A15" s="280">
        <f t="shared" si="3"/>
        <v>13</v>
      </c>
      <c r="B15" s="277"/>
      <c r="C15" s="52" t="str">
        <f t="shared" si="0"/>
        <v>6GALTOVALLE</v>
      </c>
      <c r="D15" s="52"/>
      <c r="E15" s="53">
        <f>+'CALCULO TARIFAS CC '!$U$45</f>
        <v>0.82386810577067515</v>
      </c>
      <c r="F15" s="54">
        <f t="shared" si="1"/>
        <v>19.876799999999999</v>
      </c>
      <c r="G15" s="55">
        <f t="shared" si="2"/>
        <v>16.38</v>
      </c>
      <c r="H15" s="49" t="s">
        <v>276</v>
      </c>
      <c r="I15" s="27" t="s">
        <v>26</v>
      </c>
      <c r="J15" s="27">
        <v>19.876750999999999</v>
      </c>
      <c r="K15" s="38"/>
      <c r="L15" s="381"/>
      <c r="M15" s="268"/>
      <c r="N15" s="269"/>
      <c r="O15" s="269"/>
      <c r="P15" s="283"/>
      <c r="Q15" s="269"/>
      <c r="R15" s="269"/>
      <c r="S15" s="38"/>
      <c r="T15" s="38"/>
      <c r="U15" s="38"/>
      <c r="V15" s="38"/>
      <c r="W15" s="38"/>
      <c r="X15" s="38"/>
      <c r="Y15" s="38"/>
      <c r="Z15" s="38"/>
    </row>
    <row r="16" spans="1:26" x14ac:dyDescent="0.25">
      <c r="A16" s="280">
        <f t="shared" si="3"/>
        <v>14</v>
      </c>
      <c r="B16" s="277"/>
      <c r="C16" s="52" t="str">
        <f t="shared" si="0"/>
        <v>6UAMPASA</v>
      </c>
      <c r="D16" s="52"/>
      <c r="E16" s="53">
        <f>+'CALCULO TARIFAS CC '!$U$45</f>
        <v>0.82386810577067515</v>
      </c>
      <c r="F16" s="54">
        <f t="shared" si="1"/>
        <v>4.4752999999999998</v>
      </c>
      <c r="G16" s="55">
        <f t="shared" si="2"/>
        <v>3.69</v>
      </c>
      <c r="H16" s="49" t="s">
        <v>276</v>
      </c>
      <c r="I16" s="27" t="s">
        <v>36</v>
      </c>
      <c r="J16" s="27">
        <v>4.4753106000000002</v>
      </c>
      <c r="K16" s="38"/>
      <c r="L16" s="381"/>
      <c r="M16" s="268"/>
      <c r="N16" s="269"/>
      <c r="O16" s="269"/>
      <c r="P16" s="283"/>
      <c r="Q16" s="269"/>
      <c r="R16" s="269"/>
      <c r="S16" s="38"/>
      <c r="T16" s="38"/>
      <c r="U16" s="38"/>
      <c r="V16" s="38"/>
      <c r="W16" s="38"/>
      <c r="X16" s="38"/>
      <c r="Y16" s="38"/>
      <c r="Z16" s="38"/>
    </row>
    <row r="17" spans="1:26" x14ac:dyDescent="0.25">
      <c r="A17" s="280">
        <f t="shared" si="3"/>
        <v>15</v>
      </c>
      <c r="B17" s="277"/>
      <c r="C17" s="52" t="str">
        <f t="shared" si="0"/>
        <v>6UANCLASM1</v>
      </c>
      <c r="D17" s="52"/>
      <c r="E17" s="53">
        <f>+'CALCULO TARIFAS CC '!$U$45</f>
        <v>0.82386810577067515</v>
      </c>
      <c r="F17" s="54">
        <f t="shared" si="1"/>
        <v>41.195399999999999</v>
      </c>
      <c r="G17" s="55">
        <f t="shared" si="2"/>
        <v>33.94</v>
      </c>
      <c r="H17" s="49" t="s">
        <v>276</v>
      </c>
      <c r="I17" s="27" t="s">
        <v>787</v>
      </c>
      <c r="J17" s="27">
        <v>41.195425700000001</v>
      </c>
      <c r="K17" s="38"/>
      <c r="L17" s="381"/>
      <c r="M17" s="268"/>
      <c r="N17" s="269"/>
      <c r="O17" s="269"/>
      <c r="P17" s="283"/>
      <c r="Q17" s="269"/>
      <c r="R17" s="269"/>
      <c r="S17" s="38"/>
      <c r="T17" s="38"/>
      <c r="U17" s="38"/>
      <c r="V17" s="38"/>
      <c r="W17" s="38"/>
      <c r="X17" s="38"/>
      <c r="Y17" s="38"/>
      <c r="Z17" s="38"/>
    </row>
    <row r="18" spans="1:26" x14ac:dyDescent="0.25">
      <c r="A18" s="280">
        <f t="shared" si="3"/>
        <v>16</v>
      </c>
      <c r="B18" s="277"/>
      <c r="C18" s="52" t="str">
        <f t="shared" si="0"/>
        <v>6UANCLASM2</v>
      </c>
      <c r="D18" s="52"/>
      <c r="E18" s="53">
        <f>+'CALCULO TARIFAS CC '!$U$45</f>
        <v>0.82386810577067515</v>
      </c>
      <c r="F18" s="54">
        <f t="shared" si="1"/>
        <v>24.7133</v>
      </c>
      <c r="G18" s="55">
        <f t="shared" si="2"/>
        <v>20.36</v>
      </c>
      <c r="H18" s="49" t="s">
        <v>276</v>
      </c>
      <c r="I18" s="27" t="s">
        <v>788</v>
      </c>
      <c r="J18" s="27">
        <v>24.7133276</v>
      </c>
      <c r="K18" s="38"/>
      <c r="L18" s="381"/>
      <c r="M18" s="268"/>
      <c r="N18" s="269"/>
      <c r="O18" s="269"/>
      <c r="P18" s="283"/>
      <c r="Q18" s="269"/>
      <c r="R18" s="269"/>
      <c r="S18" s="38"/>
      <c r="T18" s="38"/>
      <c r="U18" s="38"/>
      <c r="V18" s="38"/>
      <c r="W18" s="38"/>
      <c r="X18" s="38"/>
      <c r="Y18" s="38"/>
      <c r="Z18" s="38"/>
    </row>
    <row r="19" spans="1:26" x14ac:dyDescent="0.25">
      <c r="A19" s="280">
        <f t="shared" si="3"/>
        <v>17</v>
      </c>
      <c r="B19" s="277"/>
      <c r="C19" s="52" t="str">
        <f t="shared" si="0"/>
        <v>6UANCON_ENT</v>
      </c>
      <c r="D19" s="52"/>
      <c r="E19" s="53">
        <f>+'CALCULO TARIFAS CC '!$U$45</f>
        <v>0.82386810577067515</v>
      </c>
      <c r="F19" s="54">
        <f t="shared" si="1"/>
        <v>82.084900000000005</v>
      </c>
      <c r="G19" s="55">
        <f t="shared" si="2"/>
        <v>67.63</v>
      </c>
      <c r="H19" s="49" t="s">
        <v>276</v>
      </c>
      <c r="I19" s="27" t="s">
        <v>525</v>
      </c>
      <c r="J19" s="27">
        <v>82.084928399999995</v>
      </c>
      <c r="K19" s="38"/>
      <c r="L19" s="381"/>
      <c r="M19" s="268"/>
      <c r="N19" s="269"/>
      <c r="O19" s="269"/>
      <c r="P19" s="283"/>
      <c r="Q19" s="269"/>
      <c r="R19" s="269"/>
      <c r="S19" s="38"/>
      <c r="T19" s="38"/>
      <c r="U19" s="38"/>
      <c r="V19" s="38"/>
      <c r="W19" s="38"/>
      <c r="X19" s="38"/>
      <c r="Y19" s="38"/>
      <c r="Z19" s="38"/>
    </row>
    <row r="20" spans="1:26" x14ac:dyDescent="0.25">
      <c r="A20" s="280">
        <f t="shared" si="3"/>
        <v>18</v>
      </c>
      <c r="B20" s="277"/>
      <c r="C20" s="52" t="str">
        <f t="shared" si="0"/>
        <v>6UARCATA</v>
      </c>
      <c r="D20" s="52"/>
      <c r="E20" s="53">
        <f>+'CALCULO TARIFAS CC '!$U$45</f>
        <v>0.82386810577067515</v>
      </c>
      <c r="F20" s="54">
        <f t="shared" si="1"/>
        <v>143.6557</v>
      </c>
      <c r="G20" s="55">
        <f t="shared" si="2"/>
        <v>118.35</v>
      </c>
      <c r="H20" s="49" t="s">
        <v>276</v>
      </c>
      <c r="I20" s="27" t="s">
        <v>707</v>
      </c>
      <c r="J20" s="27">
        <v>143.65574899999999</v>
      </c>
      <c r="K20" s="38"/>
      <c r="L20" s="381"/>
      <c r="M20" s="268"/>
      <c r="N20" s="269"/>
      <c r="O20" s="269"/>
      <c r="P20" s="283"/>
      <c r="Q20" s="269"/>
      <c r="R20" s="269"/>
      <c r="S20" s="38"/>
      <c r="T20" s="38"/>
      <c r="U20" s="38"/>
      <c r="V20" s="38"/>
      <c r="W20" s="38"/>
      <c r="X20" s="38"/>
      <c r="Y20" s="38"/>
      <c r="Z20" s="38"/>
    </row>
    <row r="21" spans="1:26" x14ac:dyDescent="0.25">
      <c r="A21" s="280">
        <f t="shared" si="3"/>
        <v>19</v>
      </c>
      <c r="B21" s="277"/>
      <c r="C21" s="52" t="str">
        <f t="shared" si="0"/>
        <v>6UARCEALIANZ</v>
      </c>
      <c r="D21" s="52"/>
      <c r="E21" s="53">
        <f>+'CALCULO TARIFAS CC '!$U$45</f>
        <v>0.82386810577067515</v>
      </c>
      <c r="F21" s="54">
        <f t="shared" si="1"/>
        <v>7.8189000000000002</v>
      </c>
      <c r="G21" s="55">
        <f t="shared" si="2"/>
        <v>6.44</v>
      </c>
      <c r="H21" s="49" t="s">
        <v>276</v>
      </c>
      <c r="I21" s="27" t="s">
        <v>638</v>
      </c>
      <c r="J21" s="27">
        <v>7.8189422000000004</v>
      </c>
      <c r="K21" s="38"/>
      <c r="L21" s="381"/>
      <c r="M21" s="268"/>
      <c r="N21" s="269"/>
      <c r="O21" s="269"/>
      <c r="P21" s="283"/>
      <c r="Q21" s="269"/>
      <c r="R21" s="269"/>
      <c r="S21" s="38"/>
      <c r="T21" s="38"/>
      <c r="U21" s="38"/>
      <c r="V21" s="38"/>
      <c r="W21" s="38"/>
      <c r="X21" s="38"/>
      <c r="Y21" s="38"/>
      <c r="Z21" s="38"/>
    </row>
    <row r="22" spans="1:26" x14ac:dyDescent="0.25">
      <c r="A22" s="280">
        <f t="shared" si="3"/>
        <v>20</v>
      </c>
      <c r="B22" s="277"/>
      <c r="C22" s="52" t="str">
        <f t="shared" si="0"/>
        <v>6UARCEAV_P</v>
      </c>
      <c r="D22" s="52"/>
      <c r="E22" s="53">
        <f>+'CALCULO TARIFAS CC '!$U$45</f>
        <v>0.82386810577067515</v>
      </c>
      <c r="F22" s="54">
        <f t="shared" si="1"/>
        <v>342.43720000000002</v>
      </c>
      <c r="G22" s="55">
        <f t="shared" si="2"/>
        <v>282.12</v>
      </c>
      <c r="H22" s="49" t="s">
        <v>276</v>
      </c>
      <c r="I22" s="27" t="s">
        <v>639</v>
      </c>
      <c r="J22" s="27">
        <v>342.43715179999998</v>
      </c>
      <c r="K22" s="38"/>
      <c r="L22" s="381"/>
      <c r="M22" s="268"/>
      <c r="N22" s="269"/>
      <c r="O22" s="269"/>
      <c r="P22" s="283"/>
      <c r="Q22" s="269"/>
      <c r="R22" s="269"/>
      <c r="S22" s="38"/>
      <c r="T22" s="38"/>
      <c r="U22" s="38"/>
      <c r="V22" s="38"/>
      <c r="W22" s="38"/>
      <c r="X22" s="38"/>
      <c r="Y22" s="38"/>
      <c r="Z22" s="38"/>
    </row>
    <row r="23" spans="1:26" x14ac:dyDescent="0.25">
      <c r="A23" s="280">
        <f t="shared" si="3"/>
        <v>21</v>
      </c>
      <c r="B23" s="277"/>
      <c r="C23" s="52" t="str">
        <f t="shared" si="0"/>
        <v>6UARCELAMESA</v>
      </c>
      <c r="D23" s="52"/>
      <c r="E23" s="53">
        <f>+'CALCULO TARIFAS CC '!$U$45</f>
        <v>0.82386810577067515</v>
      </c>
      <c r="F23" s="54">
        <f t="shared" si="1"/>
        <v>60.656399999999998</v>
      </c>
      <c r="G23" s="55">
        <f t="shared" si="2"/>
        <v>49.97</v>
      </c>
      <c r="H23" s="49" t="s">
        <v>276</v>
      </c>
      <c r="I23" s="27" t="s">
        <v>670</v>
      </c>
      <c r="J23" s="27">
        <v>60.656388200000002</v>
      </c>
      <c r="K23" s="38"/>
      <c r="L23" s="381"/>
      <c r="M23" s="268"/>
      <c r="N23" s="269"/>
      <c r="O23" s="269"/>
      <c r="P23" s="283"/>
      <c r="Q23" s="269"/>
      <c r="R23" s="269"/>
      <c r="S23" s="38"/>
      <c r="T23" s="38"/>
      <c r="U23" s="38"/>
      <c r="V23" s="38"/>
      <c r="W23" s="38"/>
      <c r="X23" s="38"/>
      <c r="Y23" s="38"/>
      <c r="Z23" s="38"/>
    </row>
    <row r="24" spans="1:26" x14ac:dyDescent="0.25">
      <c r="A24" s="280">
        <f t="shared" si="3"/>
        <v>22</v>
      </c>
      <c r="B24" s="277"/>
      <c r="C24" s="52" t="str">
        <f t="shared" si="0"/>
        <v>6UARCENEV60</v>
      </c>
      <c r="D24" s="52"/>
      <c r="E24" s="53">
        <f>+'CALCULO TARIFAS CC '!$U$45</f>
        <v>0.82386810577067515</v>
      </c>
      <c r="F24" s="54">
        <f t="shared" si="1"/>
        <v>76.281599999999997</v>
      </c>
      <c r="G24" s="55">
        <f t="shared" si="2"/>
        <v>62.85</v>
      </c>
      <c r="H24" s="49" t="s">
        <v>276</v>
      </c>
      <c r="I24" s="27" t="s">
        <v>640</v>
      </c>
      <c r="J24" s="27">
        <v>76.281622600000006</v>
      </c>
      <c r="K24" s="38"/>
      <c r="L24" s="381"/>
      <c r="M24" s="268"/>
      <c r="N24" s="269"/>
      <c r="O24" s="269"/>
      <c r="P24" s="283"/>
      <c r="Q24" s="269"/>
      <c r="R24" s="269"/>
      <c r="S24" s="38"/>
      <c r="T24" s="38"/>
      <c r="U24" s="38"/>
      <c r="V24" s="38"/>
      <c r="W24" s="38"/>
      <c r="X24" s="38"/>
      <c r="Y24" s="38"/>
      <c r="Z24" s="38"/>
    </row>
    <row r="25" spans="1:26" x14ac:dyDescent="0.25">
      <c r="A25" s="280">
        <f t="shared" si="3"/>
        <v>23</v>
      </c>
      <c r="B25" s="277"/>
      <c r="C25" s="52" t="str">
        <f t="shared" si="0"/>
        <v>6UARCEPERU33</v>
      </c>
      <c r="D25" s="52"/>
      <c r="E25" s="53">
        <f>+'CALCULO TARIFAS CC '!$U$45</f>
        <v>0.82386810577067515</v>
      </c>
      <c r="F25" s="54">
        <f t="shared" si="1"/>
        <v>25.753399999999999</v>
      </c>
      <c r="G25" s="55">
        <f t="shared" si="2"/>
        <v>21.22</v>
      </c>
      <c r="H25" s="49" t="s">
        <v>276</v>
      </c>
      <c r="I25" s="27" t="s">
        <v>641</v>
      </c>
      <c r="J25" s="27">
        <v>25.7534068</v>
      </c>
      <c r="K25" s="38"/>
      <c r="L25" s="381"/>
      <c r="M25" s="268"/>
      <c r="N25" s="269"/>
      <c r="O25" s="269"/>
      <c r="P25" s="283"/>
      <c r="Q25" s="269"/>
      <c r="R25" s="269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s="280">
        <f t="shared" si="3"/>
        <v>24</v>
      </c>
      <c r="B26" s="277"/>
      <c r="C26" s="52" t="str">
        <f t="shared" si="0"/>
        <v>6UARCERADIAL</v>
      </c>
      <c r="D26" s="52"/>
      <c r="E26" s="53">
        <f>+'CALCULO TARIFAS CC '!$U$45</f>
        <v>0.82386810577067515</v>
      </c>
      <c r="F26" s="54">
        <f t="shared" si="1"/>
        <v>813.53489999999999</v>
      </c>
      <c r="G26" s="55">
        <f t="shared" si="2"/>
        <v>670.25</v>
      </c>
      <c r="H26" s="49" t="s">
        <v>276</v>
      </c>
      <c r="I26" s="27" t="s">
        <v>671</v>
      </c>
      <c r="J26" s="27">
        <v>813.53494049999995</v>
      </c>
      <c r="K26" s="38"/>
      <c r="L26" s="381"/>
      <c r="M26" s="268"/>
      <c r="N26" s="269"/>
      <c r="O26" s="269"/>
      <c r="P26" s="283"/>
      <c r="Q26" s="269"/>
      <c r="R26" s="269"/>
      <c r="S26" s="38"/>
      <c r="T26" s="38"/>
      <c r="U26" s="38"/>
      <c r="V26" s="38"/>
      <c r="W26" s="38"/>
      <c r="X26" s="38"/>
      <c r="Y26" s="38"/>
      <c r="Z26" s="38"/>
    </row>
    <row r="27" spans="1:26" x14ac:dyDescent="0.25">
      <c r="A27" s="280">
        <f t="shared" si="3"/>
        <v>25</v>
      </c>
      <c r="B27" s="277"/>
      <c r="C27" s="52" t="str">
        <f t="shared" si="0"/>
        <v>6UARGOS</v>
      </c>
      <c r="D27" s="52"/>
      <c r="E27" s="53">
        <f>+'CALCULO TARIFAS CC '!$U$45</f>
        <v>0.82386810577067515</v>
      </c>
      <c r="F27" s="54">
        <f t="shared" si="1"/>
        <v>195.6052</v>
      </c>
      <c r="G27" s="55">
        <f t="shared" si="2"/>
        <v>161.15</v>
      </c>
      <c r="H27" s="49" t="s">
        <v>276</v>
      </c>
      <c r="I27" s="27" t="s">
        <v>37</v>
      </c>
      <c r="J27" s="27">
        <v>195.60516200000001</v>
      </c>
      <c r="K27" s="38"/>
      <c r="L27" s="381"/>
      <c r="M27" s="268"/>
      <c r="N27" s="269"/>
      <c r="O27" s="269"/>
      <c r="P27" s="283"/>
      <c r="Q27" s="269"/>
      <c r="R27" s="269"/>
      <c r="S27" s="38"/>
      <c r="T27" s="38"/>
      <c r="U27" s="38"/>
      <c r="V27" s="38"/>
      <c r="W27" s="38"/>
      <c r="X27" s="38"/>
      <c r="Y27" s="38"/>
      <c r="Z27" s="38"/>
    </row>
    <row r="28" spans="1:26" x14ac:dyDescent="0.25">
      <c r="A28" s="280">
        <f t="shared" si="3"/>
        <v>26</v>
      </c>
      <c r="B28" s="277"/>
      <c r="C28" s="52" t="str">
        <f t="shared" si="0"/>
        <v>6UARGOSTOC</v>
      </c>
      <c r="D28" s="52"/>
      <c r="E28" s="53">
        <f>+'CALCULO TARIFAS CC '!$U$45</f>
        <v>0.82386810577067515</v>
      </c>
      <c r="F28" s="54">
        <f t="shared" si="1"/>
        <v>16.534199999999998</v>
      </c>
      <c r="G28" s="55">
        <f t="shared" si="2"/>
        <v>13.62</v>
      </c>
      <c r="H28" s="49" t="s">
        <v>276</v>
      </c>
      <c r="I28" s="27" t="s">
        <v>849</v>
      </c>
      <c r="J28" s="27">
        <v>16.534244600000001</v>
      </c>
      <c r="K28" s="38"/>
      <c r="L28" s="381"/>
      <c r="M28" s="268"/>
      <c r="N28" s="269"/>
      <c r="O28" s="269"/>
      <c r="P28" s="283"/>
      <c r="Q28" s="269"/>
      <c r="R28" s="269"/>
      <c r="S28" s="38"/>
      <c r="T28" s="38"/>
      <c r="U28" s="38"/>
      <c r="V28" s="38"/>
      <c r="W28" s="38"/>
      <c r="X28" s="38"/>
      <c r="Y28" s="38"/>
      <c r="Z28" s="38"/>
    </row>
    <row r="29" spans="1:26" x14ac:dyDescent="0.25">
      <c r="A29" s="280">
        <f t="shared" si="3"/>
        <v>27</v>
      </c>
      <c r="B29" s="277"/>
      <c r="C29" s="52" t="str">
        <f t="shared" si="0"/>
        <v>6UASAMCPDOR</v>
      </c>
      <c r="D29" s="52"/>
      <c r="E29" s="53">
        <f>+'CALCULO TARIFAS CC '!$U$45</f>
        <v>0.82386810577067515</v>
      </c>
      <c r="F29" s="54">
        <f t="shared" si="1"/>
        <v>36.691899999999997</v>
      </c>
      <c r="G29" s="55">
        <f t="shared" si="2"/>
        <v>30.23</v>
      </c>
      <c r="H29" s="49" t="s">
        <v>276</v>
      </c>
      <c r="I29" s="27" t="s">
        <v>642</v>
      </c>
      <c r="J29" s="27">
        <v>36.691917799999999</v>
      </c>
      <c r="K29" s="38"/>
      <c r="L29" s="381"/>
      <c r="M29" s="268"/>
      <c r="N29" s="269"/>
      <c r="O29" s="269"/>
      <c r="P29" s="283"/>
      <c r="Q29" s="269"/>
      <c r="R29" s="269"/>
      <c r="S29" s="38"/>
      <c r="T29" s="38"/>
      <c r="U29" s="38"/>
      <c r="V29" s="38"/>
      <c r="W29" s="38"/>
      <c r="X29" s="38"/>
      <c r="Y29" s="38"/>
      <c r="Z29" s="38"/>
    </row>
    <row r="30" spans="1:26" x14ac:dyDescent="0.25">
      <c r="A30" s="280">
        <f t="shared" si="3"/>
        <v>28</v>
      </c>
      <c r="B30" s="277"/>
      <c r="C30" s="52" t="str">
        <f t="shared" si="0"/>
        <v>6UASSAC50</v>
      </c>
      <c r="D30" s="52"/>
      <c r="E30" s="53">
        <f>+'CALCULO TARIFAS CC '!$U$45</f>
        <v>0.82386810577067515</v>
      </c>
      <c r="F30" s="54">
        <f t="shared" si="1"/>
        <v>53.047600000000003</v>
      </c>
      <c r="G30" s="55">
        <f t="shared" si="2"/>
        <v>43.7</v>
      </c>
      <c r="H30" s="49" t="s">
        <v>276</v>
      </c>
      <c r="I30" s="27" t="s">
        <v>789</v>
      </c>
      <c r="J30" s="27">
        <v>53.0475748</v>
      </c>
      <c r="K30" s="38"/>
      <c r="L30" s="381"/>
      <c r="M30" s="268"/>
      <c r="N30" s="269"/>
      <c r="O30" s="269"/>
      <c r="P30" s="283"/>
      <c r="Q30" s="269"/>
      <c r="R30" s="269"/>
      <c r="S30" s="38"/>
      <c r="T30" s="38"/>
      <c r="U30" s="38"/>
      <c r="V30" s="38"/>
      <c r="W30" s="38"/>
      <c r="X30" s="38"/>
      <c r="Y30" s="38"/>
      <c r="Z30" s="38"/>
    </row>
    <row r="31" spans="1:26" x14ac:dyDescent="0.25">
      <c r="A31" s="280">
        <f t="shared" si="3"/>
        <v>29</v>
      </c>
      <c r="B31" s="277"/>
      <c r="C31" s="52" t="str">
        <f t="shared" si="0"/>
        <v>6UATRIO1</v>
      </c>
      <c r="D31" s="52"/>
      <c r="E31" s="53">
        <f>+'CALCULO TARIFAS CC '!$U$45</f>
        <v>0.82386810577067515</v>
      </c>
      <c r="F31" s="54">
        <f t="shared" si="1"/>
        <v>55.926600000000001</v>
      </c>
      <c r="G31" s="55">
        <f t="shared" si="2"/>
        <v>46.08</v>
      </c>
      <c r="H31" s="49" t="s">
        <v>276</v>
      </c>
      <c r="I31" s="27" t="s">
        <v>517</v>
      </c>
      <c r="J31" s="27">
        <v>55.926613400000001</v>
      </c>
      <c r="K31" s="38"/>
      <c r="L31" s="381"/>
      <c r="M31" s="268"/>
      <c r="N31" s="269"/>
      <c r="O31" s="269"/>
      <c r="P31" s="283"/>
      <c r="Q31" s="269"/>
      <c r="R31" s="269"/>
      <c r="S31" s="38"/>
      <c r="T31" s="38"/>
      <c r="U31" s="38"/>
      <c r="V31" s="38"/>
      <c r="W31" s="38"/>
      <c r="X31" s="38"/>
      <c r="Y31" s="38"/>
      <c r="Z31" s="38"/>
    </row>
    <row r="32" spans="1:26" x14ac:dyDescent="0.25">
      <c r="A32" s="280">
        <f t="shared" si="3"/>
        <v>30</v>
      </c>
      <c r="B32" s="277"/>
      <c r="C32" s="52" t="str">
        <f t="shared" si="0"/>
        <v>6UAVIPAC</v>
      </c>
      <c r="D32" s="52"/>
      <c r="E32" s="53">
        <f>+'CALCULO TARIFAS CC '!$U$45</f>
        <v>0.82386810577067515</v>
      </c>
      <c r="F32" s="54">
        <f t="shared" si="1"/>
        <v>76.490499999999997</v>
      </c>
      <c r="G32" s="55">
        <f t="shared" si="2"/>
        <v>63.02</v>
      </c>
      <c r="H32" s="49" t="s">
        <v>276</v>
      </c>
      <c r="I32" s="27" t="s">
        <v>38</v>
      </c>
      <c r="J32" s="27">
        <v>76.490536800000001</v>
      </c>
      <c r="K32" s="38"/>
      <c r="L32" s="381"/>
      <c r="M32" s="268"/>
      <c r="N32" s="269"/>
      <c r="O32" s="269"/>
      <c r="P32" s="283"/>
      <c r="Q32" s="269"/>
      <c r="R32" s="269"/>
      <c r="S32" s="38"/>
      <c r="T32" s="38"/>
      <c r="U32" s="38"/>
      <c r="V32" s="38"/>
      <c r="W32" s="38"/>
      <c r="X32" s="38"/>
      <c r="Y32" s="38"/>
      <c r="Z32" s="38"/>
    </row>
    <row r="33" spans="1:26" x14ac:dyDescent="0.25">
      <c r="A33" s="280">
        <f t="shared" si="3"/>
        <v>31</v>
      </c>
      <c r="B33" s="277"/>
      <c r="C33" s="52" t="str">
        <f t="shared" si="0"/>
        <v>6UAVIPACVAC</v>
      </c>
      <c r="D33" s="52"/>
      <c r="E33" s="53">
        <f>+'CALCULO TARIFAS CC '!$U$45</f>
        <v>0.82386810577067515</v>
      </c>
      <c r="F33" s="54">
        <f t="shared" si="1"/>
        <v>90.745900000000006</v>
      </c>
      <c r="G33" s="55">
        <f t="shared" si="2"/>
        <v>74.760000000000005</v>
      </c>
      <c r="H33" s="49" t="s">
        <v>276</v>
      </c>
      <c r="I33" s="27" t="s">
        <v>496</v>
      </c>
      <c r="J33" s="27">
        <v>90.745908499999999</v>
      </c>
      <c r="K33" s="38"/>
      <c r="L33" s="381"/>
      <c r="M33" s="268"/>
      <c r="N33" s="269"/>
      <c r="O33" s="269"/>
      <c r="P33" s="283"/>
      <c r="Q33" s="269"/>
      <c r="R33" s="269"/>
      <c r="S33" s="38"/>
      <c r="T33" s="38"/>
      <c r="U33" s="38"/>
      <c r="V33" s="38"/>
      <c r="W33" s="38"/>
      <c r="X33" s="38"/>
      <c r="Y33" s="38"/>
      <c r="Z33" s="38"/>
    </row>
    <row r="34" spans="1:26" x14ac:dyDescent="0.25">
      <c r="A34" s="280">
        <f t="shared" si="3"/>
        <v>32</v>
      </c>
      <c r="B34" s="277"/>
      <c r="C34" s="52" t="str">
        <f t="shared" si="0"/>
        <v>6UBGRALCO64</v>
      </c>
      <c r="D34" s="52"/>
      <c r="E34" s="53">
        <f>+'CALCULO TARIFAS CC '!$U$45</f>
        <v>0.82386810577067515</v>
      </c>
      <c r="F34" s="54">
        <f t="shared" si="1"/>
        <v>319.48070000000001</v>
      </c>
      <c r="G34" s="55">
        <f t="shared" si="2"/>
        <v>263.20999999999998</v>
      </c>
      <c r="H34" s="49" t="s">
        <v>276</v>
      </c>
      <c r="I34" s="27" t="s">
        <v>643</v>
      </c>
      <c r="J34" s="27">
        <v>319.48067689999999</v>
      </c>
      <c r="K34" s="38"/>
      <c r="L34" s="381"/>
      <c r="M34" s="268"/>
      <c r="N34" s="269"/>
      <c r="O34" s="269"/>
      <c r="P34" s="283"/>
      <c r="Q34" s="269"/>
      <c r="R34" s="269"/>
      <c r="S34" s="38"/>
      <c r="T34" s="38"/>
      <c r="U34" s="38"/>
      <c r="V34" s="38"/>
      <c r="W34" s="38"/>
      <c r="X34" s="38"/>
      <c r="Y34" s="38"/>
      <c r="Z34" s="38"/>
    </row>
    <row r="35" spans="1:26" x14ac:dyDescent="0.25">
      <c r="A35" s="280">
        <f t="shared" si="3"/>
        <v>33</v>
      </c>
      <c r="B35" s="277"/>
      <c r="C35" s="52" t="str">
        <f t="shared" si="0"/>
        <v>6UBICSA</v>
      </c>
      <c r="D35" s="52"/>
      <c r="E35" s="53">
        <f>+'CALCULO TARIFAS CC '!$U$45</f>
        <v>0.82386810577067515</v>
      </c>
      <c r="F35" s="54">
        <f t="shared" ref="F35:F66" si="4">ROUND(J35,4)</f>
        <v>223.24629999999999</v>
      </c>
      <c r="G35" s="55">
        <f t="shared" si="2"/>
        <v>183.93</v>
      </c>
      <c r="H35" s="49" t="s">
        <v>276</v>
      </c>
      <c r="I35" s="27" t="s">
        <v>790</v>
      </c>
      <c r="J35" s="27">
        <v>223.24631299999999</v>
      </c>
      <c r="K35" s="38"/>
      <c r="L35" s="381"/>
      <c r="M35" s="268"/>
      <c r="N35" s="269"/>
      <c r="O35" s="269"/>
      <c r="P35" s="283"/>
      <c r="Q35" s="269"/>
      <c r="R35" s="269"/>
      <c r="S35" s="38"/>
      <c r="T35" s="38"/>
      <c r="U35" s="38"/>
      <c r="V35" s="38"/>
      <c r="W35" s="38"/>
      <c r="X35" s="38"/>
      <c r="Y35" s="38"/>
      <c r="Z35" s="38"/>
    </row>
    <row r="36" spans="1:26" x14ac:dyDescent="0.25">
      <c r="A36" s="280">
        <f t="shared" si="3"/>
        <v>34</v>
      </c>
      <c r="B36" s="277"/>
      <c r="C36" s="52" t="str">
        <f t="shared" si="0"/>
        <v>6UBIPEDISON</v>
      </c>
      <c r="D36" s="52"/>
      <c r="E36" s="53">
        <f>+'CALCULO TARIFAS CC '!$U$45</f>
        <v>0.82386810577067515</v>
      </c>
      <c r="F36" s="54">
        <f t="shared" si="4"/>
        <v>181.89959999999999</v>
      </c>
      <c r="G36" s="55">
        <f t="shared" si="2"/>
        <v>149.86000000000001</v>
      </c>
      <c r="H36" s="49" t="s">
        <v>276</v>
      </c>
      <c r="I36" s="27" t="s">
        <v>738</v>
      </c>
      <c r="J36" s="27">
        <v>181.89955130000001</v>
      </c>
      <c r="K36" s="38"/>
      <c r="L36" s="381"/>
      <c r="M36" s="268"/>
      <c r="N36" s="269"/>
      <c r="O36" s="269"/>
      <c r="P36" s="283"/>
      <c r="Q36" s="269"/>
      <c r="R36" s="269"/>
      <c r="S36" s="38"/>
      <c r="T36" s="38"/>
      <c r="U36" s="38"/>
      <c r="V36" s="38"/>
      <c r="W36" s="38"/>
      <c r="X36" s="38"/>
      <c r="Y36" s="38"/>
      <c r="Z36" s="38"/>
    </row>
    <row r="37" spans="1:26" x14ac:dyDescent="0.25">
      <c r="A37" s="280">
        <f t="shared" si="3"/>
        <v>35</v>
      </c>
      <c r="B37" s="277"/>
      <c r="C37" s="52" t="str">
        <f t="shared" si="0"/>
        <v>6UBNP12OCT</v>
      </c>
      <c r="D37" s="52"/>
      <c r="E37" s="53">
        <f>+'CALCULO TARIFAS CC '!$U$45</f>
        <v>0.82386810577067515</v>
      </c>
      <c r="F37" s="54">
        <f t="shared" si="4"/>
        <v>57.168500000000002</v>
      </c>
      <c r="G37" s="55">
        <f t="shared" si="2"/>
        <v>47.1</v>
      </c>
      <c r="H37" s="49" t="s">
        <v>276</v>
      </c>
      <c r="I37" s="27" t="s">
        <v>791</v>
      </c>
      <c r="J37" s="27">
        <v>57.168534999999999</v>
      </c>
      <c r="K37" s="38"/>
      <c r="L37" s="381"/>
      <c r="M37" s="268"/>
      <c r="N37" s="269"/>
      <c r="O37" s="269"/>
      <c r="P37" s="283"/>
      <c r="Q37" s="269"/>
      <c r="R37" s="269"/>
      <c r="S37" s="38"/>
      <c r="T37" s="38"/>
      <c r="U37" s="38"/>
      <c r="V37" s="38"/>
      <c r="W37" s="38"/>
      <c r="X37" s="38"/>
      <c r="Y37" s="38"/>
      <c r="Z37" s="38"/>
    </row>
    <row r="38" spans="1:26" x14ac:dyDescent="0.25">
      <c r="A38" s="280">
        <f t="shared" si="3"/>
        <v>36</v>
      </c>
      <c r="B38" s="277"/>
      <c r="C38" s="52" t="str">
        <f t="shared" si="0"/>
        <v>6UBNPIMPR</v>
      </c>
      <c r="D38" s="52"/>
      <c r="E38" s="53">
        <f>+'CALCULO TARIFAS CC '!$U$45</f>
        <v>0.82386810577067515</v>
      </c>
      <c r="F38" s="54">
        <f t="shared" si="4"/>
        <v>29.8935</v>
      </c>
      <c r="G38" s="55">
        <f t="shared" si="2"/>
        <v>24.63</v>
      </c>
      <c r="H38" s="49" t="s">
        <v>276</v>
      </c>
      <c r="I38" s="27" t="s">
        <v>792</v>
      </c>
      <c r="J38" s="27">
        <v>29.8934839</v>
      </c>
      <c r="K38" s="38"/>
      <c r="L38" s="381"/>
      <c r="M38" s="268"/>
      <c r="N38" s="269"/>
      <c r="O38" s="269"/>
      <c r="P38" s="283"/>
      <c r="Q38" s="269"/>
      <c r="R38" s="269"/>
      <c r="S38" s="38"/>
      <c r="T38" s="38"/>
      <c r="U38" s="38"/>
      <c r="V38" s="38"/>
      <c r="W38" s="38"/>
      <c r="X38" s="38"/>
      <c r="Y38" s="38"/>
      <c r="Z38" s="38"/>
    </row>
    <row r="39" spans="1:26" x14ac:dyDescent="0.25">
      <c r="A39" s="280">
        <f t="shared" si="3"/>
        <v>37</v>
      </c>
      <c r="B39" s="277"/>
      <c r="C39" s="52" t="str">
        <f t="shared" si="0"/>
        <v>6UBNPMATRIZ</v>
      </c>
      <c r="D39" s="52"/>
      <c r="E39" s="53">
        <f>+'CALCULO TARIFAS CC '!$U$45</f>
        <v>0.82386810577067515</v>
      </c>
      <c r="F39" s="54">
        <f t="shared" si="4"/>
        <v>123.00239999999999</v>
      </c>
      <c r="G39" s="55">
        <f t="shared" si="2"/>
        <v>101.34</v>
      </c>
      <c r="H39" s="49" t="s">
        <v>276</v>
      </c>
      <c r="I39" s="27" t="s">
        <v>793</v>
      </c>
      <c r="J39" s="27">
        <v>123.0023614</v>
      </c>
      <c r="K39" s="38"/>
      <c r="L39" s="381"/>
      <c r="M39" s="268"/>
      <c r="N39" s="269"/>
      <c r="O39" s="269"/>
      <c r="P39" s="283"/>
      <c r="Q39" s="269"/>
      <c r="R39" s="269"/>
      <c r="S39" s="38"/>
      <c r="T39" s="38"/>
      <c r="U39" s="38"/>
      <c r="V39" s="38"/>
      <c r="W39" s="38"/>
      <c r="X39" s="38"/>
      <c r="Y39" s="38"/>
      <c r="Z39" s="38"/>
    </row>
    <row r="40" spans="1:26" x14ac:dyDescent="0.25">
      <c r="A40" s="280">
        <f t="shared" si="3"/>
        <v>38</v>
      </c>
      <c r="B40" s="277"/>
      <c r="C40" s="52" t="str">
        <f t="shared" si="0"/>
        <v>6UBNPRESNAC</v>
      </c>
      <c r="D40" s="52"/>
      <c r="E40" s="53">
        <f>+'CALCULO TARIFAS CC '!$U$45</f>
        <v>0.82386810577067515</v>
      </c>
      <c r="F40" s="54">
        <f t="shared" si="4"/>
        <v>39.566299999999998</v>
      </c>
      <c r="G40" s="55">
        <f t="shared" si="2"/>
        <v>32.6</v>
      </c>
      <c r="H40" s="49" t="s">
        <v>276</v>
      </c>
      <c r="I40" s="27" t="s">
        <v>794</v>
      </c>
      <c r="J40" s="27">
        <v>39.566331699999999</v>
      </c>
      <c r="K40" s="38"/>
      <c r="L40" s="381"/>
      <c r="M40" s="268"/>
      <c r="N40" s="269"/>
      <c r="O40" s="269"/>
      <c r="P40" s="283"/>
      <c r="Q40" s="269"/>
      <c r="R40" s="269"/>
      <c r="S40" s="38"/>
      <c r="T40" s="38"/>
      <c r="U40" s="38"/>
      <c r="V40" s="38"/>
      <c r="W40" s="38"/>
      <c r="X40" s="38"/>
      <c r="Y40" s="38"/>
      <c r="Z40" s="38"/>
    </row>
    <row r="41" spans="1:26" x14ac:dyDescent="0.25">
      <c r="A41" s="280">
        <f t="shared" si="3"/>
        <v>39</v>
      </c>
      <c r="B41" s="277"/>
      <c r="C41" s="52" t="str">
        <f t="shared" si="0"/>
        <v>6UBNPTRAN</v>
      </c>
      <c r="D41" s="52"/>
      <c r="E41" s="53">
        <f>+'CALCULO TARIFAS CC '!$U$45</f>
        <v>0.82386810577067515</v>
      </c>
      <c r="F41" s="54">
        <f t="shared" si="4"/>
        <v>164.98840000000001</v>
      </c>
      <c r="G41" s="55">
        <f t="shared" si="2"/>
        <v>135.93</v>
      </c>
      <c r="H41" s="49" t="s">
        <v>276</v>
      </c>
      <c r="I41" s="27" t="s">
        <v>795</v>
      </c>
      <c r="J41" s="27">
        <v>164.9884065</v>
      </c>
      <c r="K41" s="38"/>
      <c r="L41" s="381"/>
      <c r="M41" s="268"/>
      <c r="N41" s="269"/>
      <c r="O41" s="269"/>
      <c r="P41" s="283"/>
      <c r="Q41" s="269"/>
      <c r="R41" s="269"/>
      <c r="S41" s="38"/>
      <c r="T41" s="38"/>
      <c r="U41" s="38"/>
      <c r="V41" s="38"/>
      <c r="W41" s="38"/>
      <c r="X41" s="38"/>
      <c r="Y41" s="38"/>
      <c r="Z41" s="38"/>
    </row>
    <row r="42" spans="1:26" x14ac:dyDescent="0.25">
      <c r="A42" s="280">
        <f t="shared" si="3"/>
        <v>40</v>
      </c>
      <c r="B42" s="277"/>
      <c r="C42" s="52" t="str">
        <f t="shared" si="0"/>
        <v>6UBONLACBG</v>
      </c>
      <c r="D42" s="52"/>
      <c r="E42" s="53">
        <f>+'CALCULO TARIFAS CC '!$U$45</f>
        <v>0.82386810577067515</v>
      </c>
      <c r="F42" s="54">
        <f t="shared" si="4"/>
        <v>592.93769999999995</v>
      </c>
      <c r="G42" s="55">
        <f t="shared" si="2"/>
        <v>488.5</v>
      </c>
      <c r="H42" s="49" t="s">
        <v>276</v>
      </c>
      <c r="I42" s="27" t="s">
        <v>825</v>
      </c>
      <c r="J42" s="27">
        <v>592.93769780000002</v>
      </c>
      <c r="K42" s="38"/>
      <c r="L42" s="381"/>
      <c r="M42" s="268"/>
      <c r="N42" s="269"/>
      <c r="O42" s="269"/>
      <c r="P42" s="283"/>
      <c r="Q42" s="269"/>
      <c r="R42" s="269"/>
      <c r="S42" s="38"/>
      <c r="T42" s="38"/>
      <c r="U42" s="38"/>
      <c r="V42" s="38"/>
      <c r="W42" s="38"/>
      <c r="X42" s="38"/>
      <c r="Y42" s="38"/>
      <c r="Z42" s="38"/>
    </row>
    <row r="43" spans="1:26" x14ac:dyDescent="0.25">
      <c r="A43" s="280">
        <f t="shared" si="3"/>
        <v>41</v>
      </c>
      <c r="B43" s="277"/>
      <c r="C43" s="52" t="str">
        <f t="shared" si="0"/>
        <v>6UBPARK</v>
      </c>
      <c r="D43" s="52"/>
      <c r="E43" s="53">
        <f>+'CALCULO TARIFAS CC '!$U$45</f>
        <v>0.82386810577067515</v>
      </c>
      <c r="F43" s="54">
        <f t="shared" si="4"/>
        <v>1116.856</v>
      </c>
      <c r="G43" s="55">
        <f t="shared" si="2"/>
        <v>920.14</v>
      </c>
      <c r="H43" s="49" t="s">
        <v>276</v>
      </c>
      <c r="I43" s="27" t="s">
        <v>526</v>
      </c>
      <c r="J43" s="27">
        <v>1116.8560493</v>
      </c>
      <c r="K43" s="38"/>
      <c r="L43" s="381"/>
      <c r="M43" s="268"/>
      <c r="N43" s="269"/>
      <c r="O43" s="269"/>
      <c r="P43" s="283"/>
      <c r="Q43" s="269"/>
      <c r="R43" s="269"/>
      <c r="S43" s="38"/>
      <c r="T43" s="38"/>
      <c r="U43" s="38"/>
      <c r="V43" s="38"/>
      <c r="W43" s="38"/>
      <c r="X43" s="38"/>
      <c r="Y43" s="38"/>
      <c r="Z43" s="38"/>
    </row>
    <row r="44" spans="1:26" x14ac:dyDescent="0.25">
      <c r="A44" s="280">
        <f t="shared" si="3"/>
        <v>42</v>
      </c>
      <c r="B44" s="277"/>
      <c r="C44" s="52" t="str">
        <f t="shared" si="0"/>
        <v>6UBRISASDEAM</v>
      </c>
      <c r="D44" s="52"/>
      <c r="E44" s="53">
        <f>+'CALCULO TARIFAS CC '!$U$45</f>
        <v>0.82386810577067515</v>
      </c>
      <c r="F44" s="54">
        <f t="shared" si="4"/>
        <v>104.4815</v>
      </c>
      <c r="G44" s="55">
        <f t="shared" si="2"/>
        <v>86.08</v>
      </c>
      <c r="H44" s="49" t="s">
        <v>276</v>
      </c>
      <c r="I44" s="27" t="s">
        <v>826</v>
      </c>
      <c r="J44" s="27">
        <v>104.4815215</v>
      </c>
      <c r="K44" s="38"/>
      <c r="L44" s="381"/>
      <c r="M44" s="268"/>
      <c r="N44" s="269"/>
      <c r="O44" s="269"/>
      <c r="P44" s="283"/>
      <c r="Q44" s="269"/>
      <c r="R44" s="269"/>
      <c r="S44" s="38"/>
      <c r="T44" s="38"/>
      <c r="U44" s="38"/>
      <c r="V44" s="38"/>
      <c r="W44" s="38"/>
      <c r="X44" s="38"/>
      <c r="Y44" s="38"/>
      <c r="Z44" s="38"/>
    </row>
    <row r="45" spans="1:26" x14ac:dyDescent="0.25">
      <c r="A45" s="280">
        <f t="shared" si="3"/>
        <v>43</v>
      </c>
      <c r="B45" s="277"/>
      <c r="C45" s="52" t="str">
        <f t="shared" si="0"/>
        <v>6UBRISTOL</v>
      </c>
      <c r="D45" s="52"/>
      <c r="E45" s="53">
        <f>+'CALCULO TARIFAS CC '!$U$45</f>
        <v>0.82386810577067515</v>
      </c>
      <c r="F45" s="54">
        <f t="shared" si="4"/>
        <v>187.8058</v>
      </c>
      <c r="G45" s="55">
        <f t="shared" si="2"/>
        <v>154.72999999999999</v>
      </c>
      <c r="H45" s="49" t="s">
        <v>276</v>
      </c>
      <c r="I45" s="27" t="s">
        <v>495</v>
      </c>
      <c r="J45" s="27">
        <v>187.80581359999999</v>
      </c>
      <c r="K45" s="38"/>
      <c r="L45" s="381"/>
      <c r="M45" s="268"/>
      <c r="N45" s="269"/>
      <c r="O45" s="269"/>
      <c r="P45" s="283"/>
      <c r="Q45" s="269"/>
      <c r="R45" s="269"/>
      <c r="S45" s="38"/>
      <c r="T45" s="38"/>
      <c r="U45" s="38"/>
      <c r="V45" s="38"/>
      <c r="W45" s="38"/>
      <c r="X45" s="38"/>
      <c r="Y45" s="38"/>
      <c r="Z45" s="38"/>
    </row>
    <row r="46" spans="1:26" x14ac:dyDescent="0.25">
      <c r="A46" s="280">
        <f t="shared" si="3"/>
        <v>44</v>
      </c>
      <c r="B46" s="277"/>
      <c r="C46" s="52" t="str">
        <f t="shared" si="0"/>
        <v>6UBWESTD</v>
      </c>
      <c r="D46" s="52"/>
      <c r="E46" s="53">
        <f>+'CALCULO TARIFAS CC '!$U$45</f>
        <v>0.82386810577067515</v>
      </c>
      <c r="F46" s="54">
        <f t="shared" si="4"/>
        <v>40.632199999999997</v>
      </c>
      <c r="G46" s="55">
        <f t="shared" si="2"/>
        <v>33.479999999999997</v>
      </c>
      <c r="H46" s="49" t="s">
        <v>276</v>
      </c>
      <c r="I46" s="27" t="s">
        <v>527</v>
      </c>
      <c r="J46" s="27">
        <v>40.632224200000003</v>
      </c>
      <c r="K46" s="38"/>
      <c r="L46" s="381"/>
      <c r="M46" s="268"/>
      <c r="N46" s="269"/>
      <c r="O46" s="269"/>
      <c r="P46" s="283"/>
      <c r="Q46" s="269"/>
      <c r="R46" s="269"/>
      <c r="S46" s="38"/>
      <c r="T46" s="38"/>
      <c r="U46" s="38"/>
      <c r="V46" s="38"/>
      <c r="W46" s="38"/>
      <c r="X46" s="38"/>
      <c r="Y46" s="38"/>
      <c r="Z46" s="38"/>
    </row>
    <row r="47" spans="1:26" x14ac:dyDescent="0.25">
      <c r="A47" s="280">
        <f t="shared" si="3"/>
        <v>45</v>
      </c>
      <c r="B47" s="277"/>
      <c r="C47" s="52" t="str">
        <f t="shared" si="0"/>
        <v>6UCABLEONDA</v>
      </c>
      <c r="D47" s="52"/>
      <c r="E47" s="53">
        <f>+'CALCULO TARIFAS CC '!$U$45</f>
        <v>0.82386810577067515</v>
      </c>
      <c r="F47" s="54">
        <f t="shared" si="4"/>
        <v>1003.1309</v>
      </c>
      <c r="G47" s="55">
        <f t="shared" si="2"/>
        <v>826.45</v>
      </c>
      <c r="H47" s="49" t="s">
        <v>276</v>
      </c>
      <c r="I47" s="27" t="s">
        <v>39</v>
      </c>
      <c r="J47" s="27">
        <v>1003.1308811</v>
      </c>
      <c r="K47" s="38"/>
      <c r="L47" s="381"/>
      <c r="M47" s="268"/>
      <c r="N47" s="269"/>
      <c r="O47" s="269"/>
      <c r="P47" s="283"/>
      <c r="Q47" s="269"/>
      <c r="R47" s="269"/>
      <c r="S47" s="38"/>
      <c r="T47" s="38"/>
      <c r="U47" s="38"/>
      <c r="V47" s="38"/>
      <c r="W47" s="38"/>
      <c r="X47" s="38"/>
      <c r="Y47" s="38"/>
      <c r="Z47" s="38"/>
    </row>
    <row r="48" spans="1:26" x14ac:dyDescent="0.25">
      <c r="A48" s="280">
        <f t="shared" si="3"/>
        <v>46</v>
      </c>
      <c r="B48" s="277"/>
      <c r="C48" s="52" t="str">
        <f t="shared" si="0"/>
        <v>6UCADASA_GC</v>
      </c>
      <c r="D48" s="52"/>
      <c r="E48" s="53">
        <f>+'CALCULO TARIFAS CC '!$U$45</f>
        <v>0.82386810577067515</v>
      </c>
      <c r="F48" s="54">
        <f t="shared" si="4"/>
        <v>461.09859999999998</v>
      </c>
      <c r="G48" s="55">
        <f t="shared" si="2"/>
        <v>379.88</v>
      </c>
      <c r="H48" s="49" t="s">
        <v>276</v>
      </c>
      <c r="I48" s="27" t="s">
        <v>644</v>
      </c>
      <c r="J48" s="27">
        <v>461.09854999999999</v>
      </c>
      <c r="K48" s="38"/>
      <c r="L48" s="381"/>
      <c r="M48" s="268"/>
      <c r="N48" s="269"/>
      <c r="O48" s="269"/>
      <c r="P48" s="283"/>
      <c r="Q48" s="269"/>
      <c r="R48" s="269"/>
      <c r="S48" s="38"/>
      <c r="T48" s="38"/>
      <c r="U48" s="38"/>
      <c r="V48" s="38"/>
      <c r="W48" s="38"/>
      <c r="X48" s="38"/>
      <c r="Y48" s="38"/>
      <c r="Z48" s="38"/>
    </row>
    <row r="49" spans="1:26" x14ac:dyDescent="0.25">
      <c r="A49" s="280">
        <f t="shared" si="3"/>
        <v>47</v>
      </c>
      <c r="B49" s="277"/>
      <c r="C49" s="52" t="str">
        <f t="shared" si="0"/>
        <v>6GCALDERA</v>
      </c>
      <c r="D49" s="52"/>
      <c r="E49" s="53">
        <f>+'CALCULO TARIFAS CC '!$U$45</f>
        <v>0.82386810577067515</v>
      </c>
      <c r="F49" s="54">
        <f t="shared" si="4"/>
        <v>10.594099999999999</v>
      </c>
      <c r="G49" s="55">
        <f t="shared" si="2"/>
        <v>8.73</v>
      </c>
      <c r="H49" s="49" t="s">
        <v>276</v>
      </c>
      <c r="I49" s="27" t="s">
        <v>765</v>
      </c>
      <c r="J49" s="27">
        <v>10.594099</v>
      </c>
      <c r="K49" s="38"/>
      <c r="L49" s="381"/>
      <c r="M49" s="268"/>
      <c r="N49" s="269"/>
      <c r="O49" s="269"/>
      <c r="P49" s="283"/>
      <c r="Q49" s="269"/>
      <c r="R49" s="269"/>
      <c r="S49" s="38"/>
      <c r="T49" s="38"/>
      <c r="U49" s="38"/>
      <c r="V49" s="38"/>
      <c r="W49" s="38"/>
      <c r="X49" s="38"/>
      <c r="Y49" s="38"/>
      <c r="Z49" s="38"/>
    </row>
    <row r="50" spans="1:26" x14ac:dyDescent="0.25">
      <c r="A50" s="280">
        <f t="shared" si="3"/>
        <v>48</v>
      </c>
      <c r="B50" s="277"/>
      <c r="C50" s="52" t="str">
        <f t="shared" si="0"/>
        <v>6UCARCOCLE</v>
      </c>
      <c r="D50" s="52"/>
      <c r="E50" s="53">
        <f>+'CALCULO TARIFAS CC '!$U$45</f>
        <v>0.82386810577067515</v>
      </c>
      <c r="F50" s="54">
        <f t="shared" si="4"/>
        <v>1142.4649999999999</v>
      </c>
      <c r="G50" s="55">
        <f t="shared" si="2"/>
        <v>941.24</v>
      </c>
      <c r="H50" s="49" t="s">
        <v>276</v>
      </c>
      <c r="I50" s="27" t="s">
        <v>672</v>
      </c>
      <c r="J50" s="27">
        <v>1142.4649508</v>
      </c>
      <c r="K50" s="38"/>
      <c r="L50" s="381"/>
      <c r="M50" s="268"/>
      <c r="N50" s="269"/>
      <c r="O50" s="269"/>
      <c r="P50" s="283"/>
      <c r="Q50" s="269"/>
      <c r="R50" s="269"/>
      <c r="S50" s="38"/>
      <c r="T50" s="38"/>
      <c r="U50" s="38"/>
      <c r="V50" s="38"/>
      <c r="W50" s="38"/>
      <c r="X50" s="38"/>
      <c r="Y50" s="38"/>
      <c r="Z50" s="38"/>
    </row>
    <row r="51" spans="1:26" x14ac:dyDescent="0.25">
      <c r="A51" s="280">
        <f t="shared" si="3"/>
        <v>49</v>
      </c>
      <c r="B51" s="277"/>
      <c r="C51" s="52" t="str">
        <f t="shared" si="0"/>
        <v>6UCASCHITRE</v>
      </c>
      <c r="D51" s="52"/>
      <c r="E51" s="53">
        <f>+'CALCULO TARIFAS CC '!$U$45</f>
        <v>0.82386810577067515</v>
      </c>
      <c r="F51" s="54">
        <f t="shared" si="4"/>
        <v>58.398299999999999</v>
      </c>
      <c r="G51" s="55">
        <f t="shared" si="2"/>
        <v>48.11</v>
      </c>
      <c r="H51" s="49" t="s">
        <v>276</v>
      </c>
      <c r="I51" s="27" t="s">
        <v>739</v>
      </c>
      <c r="J51" s="27">
        <v>58.398305499999999</v>
      </c>
      <c r="K51" s="38"/>
      <c r="L51" s="381"/>
      <c r="M51" s="268"/>
      <c r="N51" s="269"/>
      <c r="O51" s="269"/>
      <c r="P51" s="283"/>
      <c r="Q51" s="269"/>
      <c r="R51" s="269"/>
      <c r="S51" s="38"/>
      <c r="T51" s="38"/>
      <c r="U51" s="38"/>
      <c r="V51" s="38"/>
      <c r="W51" s="38"/>
      <c r="X51" s="38"/>
      <c r="Y51" s="38"/>
      <c r="Z51" s="38"/>
    </row>
    <row r="52" spans="1:26" x14ac:dyDescent="0.25">
      <c r="A52" s="280">
        <f t="shared" si="3"/>
        <v>50</v>
      </c>
      <c r="B52" s="277"/>
      <c r="C52" s="52" t="str">
        <f t="shared" si="0"/>
        <v>6UCASCOCLE</v>
      </c>
      <c r="D52" s="52"/>
      <c r="E52" s="53">
        <f>+'CALCULO TARIFAS CC '!$U$45</f>
        <v>0.82386810577067515</v>
      </c>
      <c r="F52" s="54">
        <f t="shared" si="4"/>
        <v>59.572699999999998</v>
      </c>
      <c r="G52" s="55">
        <f t="shared" si="2"/>
        <v>49.08</v>
      </c>
      <c r="H52" s="49" t="s">
        <v>276</v>
      </c>
      <c r="I52" s="27" t="s">
        <v>740</v>
      </c>
      <c r="J52" s="27">
        <v>59.572714099999999</v>
      </c>
      <c r="K52" s="38"/>
      <c r="L52" s="381"/>
      <c r="M52" s="268"/>
      <c r="N52" s="269"/>
      <c r="O52" s="269"/>
      <c r="P52" s="283"/>
      <c r="Q52" s="269"/>
      <c r="R52" s="269"/>
      <c r="S52" s="38"/>
      <c r="T52" s="38"/>
      <c r="U52" s="38"/>
      <c r="V52" s="38"/>
      <c r="W52" s="38"/>
      <c r="X52" s="38"/>
      <c r="Y52" s="38"/>
      <c r="Z52" s="38"/>
    </row>
    <row r="53" spans="1:26" x14ac:dyDescent="0.25">
      <c r="A53" s="280">
        <f t="shared" si="3"/>
        <v>51</v>
      </c>
      <c r="B53" s="277"/>
      <c r="C53" s="52" t="str">
        <f t="shared" si="0"/>
        <v>6UCCHEBREO</v>
      </c>
      <c r="D53" s="52"/>
      <c r="E53" s="53">
        <f>+'CALCULO TARIFAS CC '!$U$45</f>
        <v>0.82386810577067515</v>
      </c>
      <c r="F53" s="54">
        <f t="shared" si="4"/>
        <v>28.746400000000001</v>
      </c>
      <c r="G53" s="55">
        <f t="shared" si="2"/>
        <v>23.68</v>
      </c>
      <c r="H53" s="49" t="s">
        <v>276</v>
      </c>
      <c r="I53" s="27" t="s">
        <v>827</v>
      </c>
      <c r="J53" s="27">
        <v>28.7463607</v>
      </c>
      <c r="K53" s="38"/>
      <c r="L53" s="381"/>
      <c r="M53" s="268"/>
      <c r="N53" s="269"/>
      <c r="O53" s="269"/>
      <c r="P53" s="283"/>
      <c r="Q53" s="269"/>
      <c r="R53" s="269"/>
      <c r="S53" s="38"/>
      <c r="T53" s="38"/>
      <c r="U53" s="38"/>
      <c r="V53" s="38"/>
      <c r="W53" s="38"/>
      <c r="X53" s="38"/>
      <c r="Y53" s="38"/>
      <c r="Z53" s="38"/>
    </row>
    <row r="54" spans="1:26" x14ac:dyDescent="0.25">
      <c r="A54" s="280">
        <f t="shared" si="3"/>
        <v>52</v>
      </c>
      <c r="B54" s="277"/>
      <c r="C54" s="52" t="str">
        <f t="shared" si="0"/>
        <v>6UCCONTAIN13</v>
      </c>
      <c r="D54" s="52"/>
      <c r="E54" s="53">
        <f>+'CALCULO TARIFAS CC '!$U$45</f>
        <v>0.82386810577067515</v>
      </c>
      <c r="F54" s="54">
        <f t="shared" si="4"/>
        <v>811.21730000000002</v>
      </c>
      <c r="G54" s="55">
        <f t="shared" si="2"/>
        <v>668.34</v>
      </c>
      <c r="H54" s="49" t="s">
        <v>276</v>
      </c>
      <c r="I54" s="27" t="s">
        <v>850</v>
      </c>
      <c r="J54" s="27">
        <v>811.21729310000001</v>
      </c>
      <c r="K54" s="38"/>
      <c r="L54" s="381"/>
      <c r="M54" s="268"/>
      <c r="N54" s="269"/>
      <c r="O54" s="269"/>
      <c r="P54" s="283"/>
      <c r="Q54" s="269"/>
      <c r="R54" s="269"/>
      <c r="S54" s="38"/>
      <c r="T54" s="38"/>
      <c r="U54" s="38"/>
      <c r="V54" s="38"/>
      <c r="W54" s="38"/>
      <c r="X54" s="38"/>
      <c r="Y54" s="38"/>
      <c r="Z54" s="38"/>
    </row>
    <row r="55" spans="1:26" x14ac:dyDescent="0.25">
      <c r="A55" s="280">
        <f t="shared" si="3"/>
        <v>53</v>
      </c>
      <c r="B55" s="277"/>
      <c r="C55" s="52" t="str">
        <f t="shared" si="0"/>
        <v>6UCCROWNHRAD</v>
      </c>
      <c r="D55" s="52"/>
      <c r="E55" s="53">
        <f>+'CALCULO TARIFAS CC '!$U$45</f>
        <v>0.82386810577067515</v>
      </c>
      <c r="F55" s="54">
        <f t="shared" si="4"/>
        <v>30.636199999999999</v>
      </c>
      <c r="G55" s="55">
        <f t="shared" si="2"/>
        <v>25.24</v>
      </c>
      <c r="H55" s="49" t="s">
        <v>276</v>
      </c>
      <c r="I55" s="27" t="s">
        <v>851</v>
      </c>
      <c r="J55" s="27">
        <v>30.636164900000001</v>
      </c>
      <c r="K55" s="38"/>
      <c r="L55" s="381"/>
      <c r="M55" s="268"/>
      <c r="N55" s="269"/>
      <c r="O55" s="269"/>
      <c r="P55" s="283"/>
      <c r="Q55" s="269"/>
      <c r="R55" s="269"/>
      <c r="S55" s="38"/>
      <c r="T55" s="38"/>
      <c r="U55" s="38"/>
      <c r="V55" s="38"/>
      <c r="W55" s="38"/>
      <c r="X55" s="38"/>
      <c r="Y55" s="38"/>
      <c r="Z55" s="38"/>
    </row>
    <row r="56" spans="1:26" x14ac:dyDescent="0.25">
      <c r="A56" s="280">
        <f t="shared" si="3"/>
        <v>54</v>
      </c>
      <c r="B56" s="277"/>
      <c r="C56" s="52" t="str">
        <f t="shared" si="0"/>
        <v>6UCEDIFRIO</v>
      </c>
      <c r="D56" s="52"/>
      <c r="E56" s="53">
        <f>+'CALCULO TARIFAS CC '!$U$45</f>
        <v>0.82386810577067515</v>
      </c>
      <c r="F56" s="54">
        <f t="shared" si="4"/>
        <v>151.63730000000001</v>
      </c>
      <c r="G56" s="55">
        <f t="shared" si="2"/>
        <v>124.93</v>
      </c>
      <c r="H56" s="49" t="s">
        <v>276</v>
      </c>
      <c r="I56" s="27" t="s">
        <v>708</v>
      </c>
      <c r="J56" s="27">
        <v>151.637293</v>
      </c>
      <c r="K56" s="38"/>
      <c r="L56" s="381"/>
      <c r="M56" s="268"/>
      <c r="N56" s="269"/>
      <c r="O56" s="269"/>
      <c r="P56" s="283"/>
      <c r="Q56" s="269"/>
      <c r="R56" s="269"/>
      <c r="S56" s="38"/>
      <c r="T56" s="38"/>
      <c r="U56" s="38"/>
      <c r="V56" s="38"/>
      <c r="W56" s="38"/>
      <c r="X56" s="38"/>
      <c r="Y56" s="38"/>
      <c r="Z56" s="38"/>
    </row>
    <row r="57" spans="1:26" x14ac:dyDescent="0.25">
      <c r="A57" s="280">
        <f t="shared" si="3"/>
        <v>55</v>
      </c>
      <c r="B57" s="277"/>
      <c r="C57" s="52" t="str">
        <f t="shared" si="0"/>
        <v>6UCEDISADAV</v>
      </c>
      <c r="D57" s="52"/>
      <c r="E57" s="53">
        <f>+'CALCULO TARIFAS CC '!$U$45</f>
        <v>0.82386810577067515</v>
      </c>
      <c r="F57" s="54">
        <f t="shared" si="4"/>
        <v>61.171399999999998</v>
      </c>
      <c r="G57" s="55">
        <f t="shared" si="2"/>
        <v>50.4</v>
      </c>
      <c r="H57" s="49" t="s">
        <v>276</v>
      </c>
      <c r="I57" s="27" t="s">
        <v>709</v>
      </c>
      <c r="J57" s="27">
        <v>61.171397599999999</v>
      </c>
      <c r="K57" s="38"/>
      <c r="L57" s="381"/>
      <c r="M57" s="268"/>
      <c r="N57" s="269"/>
      <c r="O57" s="269"/>
      <c r="P57" s="283"/>
      <c r="Q57" s="269"/>
      <c r="R57" s="269"/>
      <c r="S57" s="38"/>
      <c r="T57" s="38"/>
      <c r="U57" s="38"/>
      <c r="V57" s="38"/>
      <c r="W57" s="38"/>
      <c r="X57" s="38"/>
      <c r="Y57" s="38"/>
      <c r="Z57" s="38"/>
    </row>
    <row r="58" spans="1:26" x14ac:dyDescent="0.25">
      <c r="A58" s="280">
        <f t="shared" si="3"/>
        <v>56</v>
      </c>
      <c r="B58" s="277"/>
      <c r="C58" s="52" t="str">
        <f t="shared" si="0"/>
        <v>6GCELSIACENT</v>
      </c>
      <c r="D58" s="52"/>
      <c r="E58" s="53">
        <f>+'CALCULO TARIFAS CC '!$U$45</f>
        <v>0.82386810577067515</v>
      </c>
      <c r="F58" s="54">
        <f t="shared" si="4"/>
        <v>190.00810000000001</v>
      </c>
      <c r="G58" s="55">
        <f t="shared" si="2"/>
        <v>156.54</v>
      </c>
      <c r="H58" s="49" t="s">
        <v>276</v>
      </c>
      <c r="I58" s="27" t="s">
        <v>796</v>
      </c>
      <c r="J58" s="27">
        <v>190.00806</v>
      </c>
      <c r="K58" s="38"/>
      <c r="L58" s="381"/>
      <c r="M58" s="268"/>
      <c r="N58" s="269"/>
      <c r="O58" s="269"/>
      <c r="P58" s="283"/>
      <c r="Q58" s="269"/>
      <c r="R58" s="269"/>
      <c r="S58" s="38"/>
      <c r="T58" s="38"/>
      <c r="U58" s="38"/>
      <c r="V58" s="38"/>
      <c r="W58" s="38"/>
      <c r="X58" s="38"/>
      <c r="Y58" s="38"/>
      <c r="Z58" s="38"/>
    </row>
    <row r="59" spans="1:26" x14ac:dyDescent="0.25">
      <c r="A59" s="280">
        <f t="shared" si="3"/>
        <v>57</v>
      </c>
      <c r="B59" s="277"/>
      <c r="C59" s="52" t="str">
        <f t="shared" si="0"/>
        <v>6UCEMEX</v>
      </c>
      <c r="D59" s="52"/>
      <c r="E59" s="53">
        <f>+'CALCULO TARIFAS CC '!$U$45</f>
        <v>0.82386810577067515</v>
      </c>
      <c r="F59" s="54">
        <f t="shared" si="4"/>
        <v>436.84089999999998</v>
      </c>
      <c r="G59" s="55">
        <f t="shared" si="2"/>
        <v>359.9</v>
      </c>
      <c r="H59" s="49" t="s">
        <v>276</v>
      </c>
      <c r="I59" s="27" t="s">
        <v>40</v>
      </c>
      <c r="J59" s="27">
        <v>436.84090250000003</v>
      </c>
      <c r="K59" s="38"/>
      <c r="L59" s="381"/>
      <c r="M59" s="268"/>
      <c r="N59" s="269"/>
      <c r="O59" s="269"/>
      <c r="P59" s="283"/>
      <c r="Q59" s="269"/>
      <c r="R59" s="269"/>
      <c r="S59" s="38"/>
      <c r="T59" s="38"/>
      <c r="U59" s="38"/>
      <c r="V59" s="38"/>
      <c r="W59" s="38"/>
      <c r="X59" s="38"/>
      <c r="Y59" s="38"/>
      <c r="Z59" s="38"/>
    </row>
    <row r="60" spans="1:26" x14ac:dyDescent="0.25">
      <c r="A60" s="280">
        <f t="shared" si="3"/>
        <v>58</v>
      </c>
      <c r="B60" s="277"/>
      <c r="C60" s="52" t="str">
        <f t="shared" si="0"/>
        <v>6UCEMEXJDIAZ</v>
      </c>
      <c r="D60" s="52"/>
      <c r="E60" s="53">
        <f>+'CALCULO TARIFAS CC '!$U$45</f>
        <v>0.82386810577067515</v>
      </c>
      <c r="F60" s="54">
        <f t="shared" si="4"/>
        <v>8.609</v>
      </c>
      <c r="G60" s="55">
        <f t="shared" si="2"/>
        <v>7.09</v>
      </c>
      <c r="H60" s="49" t="s">
        <v>276</v>
      </c>
      <c r="I60" s="27" t="s">
        <v>710</v>
      </c>
      <c r="J60" s="27">
        <v>8.6090152999999994</v>
      </c>
      <c r="K60" s="38"/>
      <c r="L60" s="381"/>
      <c r="M60" s="268"/>
      <c r="N60" s="269"/>
      <c r="O60" s="269"/>
      <c r="P60" s="283"/>
      <c r="Q60" s="269"/>
      <c r="R60" s="269"/>
      <c r="S60" s="38"/>
      <c r="T60" s="38"/>
      <c r="U60" s="38"/>
      <c r="V60" s="38"/>
      <c r="W60" s="38"/>
      <c r="X60" s="38"/>
      <c r="Y60" s="38"/>
      <c r="Z60" s="38"/>
    </row>
    <row r="61" spans="1:26" x14ac:dyDescent="0.25">
      <c r="A61" s="280">
        <f t="shared" si="3"/>
        <v>59</v>
      </c>
      <c r="B61" s="277"/>
      <c r="C61" s="52" t="str">
        <f t="shared" si="0"/>
        <v>6UCEMINTER</v>
      </c>
      <c r="D61" s="52"/>
      <c r="E61" s="53">
        <f>+'CALCULO TARIFAS CC '!$U$45</f>
        <v>0.82386810577067515</v>
      </c>
      <c r="F61" s="54">
        <f t="shared" si="4"/>
        <v>27.910599999999999</v>
      </c>
      <c r="G61" s="55">
        <f t="shared" si="2"/>
        <v>22.99</v>
      </c>
      <c r="H61" s="49" t="s">
        <v>276</v>
      </c>
      <c r="I61" s="27" t="s">
        <v>41</v>
      </c>
      <c r="J61" s="27">
        <v>27.910588600000001</v>
      </c>
      <c r="K61" s="38"/>
      <c r="L61" s="381"/>
      <c r="M61" s="268"/>
      <c r="N61" s="269"/>
      <c r="O61" s="269"/>
      <c r="P61" s="283"/>
      <c r="Q61" s="269"/>
      <c r="R61" s="269"/>
      <c r="S61" s="38"/>
      <c r="T61" s="38"/>
      <c r="U61" s="38"/>
      <c r="V61" s="38"/>
      <c r="W61" s="38"/>
      <c r="X61" s="38"/>
      <c r="Y61" s="38"/>
      <c r="Z61" s="38"/>
    </row>
    <row r="62" spans="1:26" x14ac:dyDescent="0.25">
      <c r="A62" s="280">
        <f t="shared" si="3"/>
        <v>60</v>
      </c>
      <c r="B62" s="277"/>
      <c r="C62" s="52" t="str">
        <f t="shared" si="0"/>
        <v>6UCEMINTER2</v>
      </c>
      <c r="D62" s="52"/>
      <c r="E62" s="53">
        <f>+'CALCULO TARIFAS CC '!$U$45</f>
        <v>0.82386810577067515</v>
      </c>
      <c r="F62" s="54">
        <f t="shared" si="4"/>
        <v>26.6983</v>
      </c>
      <c r="G62" s="55">
        <f t="shared" si="2"/>
        <v>22</v>
      </c>
      <c r="H62" s="49" t="s">
        <v>276</v>
      </c>
      <c r="I62" s="27" t="s">
        <v>437</v>
      </c>
      <c r="J62" s="27">
        <v>26.698264900000002</v>
      </c>
      <c r="K62" s="38"/>
      <c r="L62" s="381"/>
      <c r="M62" s="268"/>
      <c r="N62" s="269"/>
      <c r="O62" s="269"/>
      <c r="P62" s="283"/>
      <c r="Q62" s="269"/>
      <c r="R62" s="269"/>
      <c r="S62" s="38"/>
      <c r="T62" s="38"/>
      <c r="U62" s="38"/>
      <c r="V62" s="38"/>
      <c r="W62" s="38"/>
      <c r="X62" s="38"/>
      <c r="Y62" s="38"/>
      <c r="Z62" s="38"/>
    </row>
    <row r="63" spans="1:26" x14ac:dyDescent="0.25">
      <c r="A63" s="280">
        <f t="shared" si="3"/>
        <v>61</v>
      </c>
      <c r="B63" s="277"/>
      <c r="C63" s="52" t="str">
        <f t="shared" si="0"/>
        <v>6UCGOLF</v>
      </c>
      <c r="D63" s="52"/>
      <c r="E63" s="53">
        <f>+'CALCULO TARIFAS CC '!$U$45</f>
        <v>0.82386810577067515</v>
      </c>
      <c r="F63" s="54">
        <f t="shared" si="4"/>
        <v>18.5105</v>
      </c>
      <c r="G63" s="55">
        <f t="shared" si="2"/>
        <v>15.25</v>
      </c>
      <c r="H63" s="49" t="s">
        <v>276</v>
      </c>
      <c r="I63" s="27" t="s">
        <v>828</v>
      </c>
      <c r="J63" s="27">
        <v>18.510508699999999</v>
      </c>
      <c r="K63" s="38"/>
      <c r="L63" s="381"/>
      <c r="M63" s="268"/>
      <c r="N63" s="269"/>
      <c r="O63" s="269"/>
      <c r="P63" s="283"/>
      <c r="Q63" s="269"/>
      <c r="R63" s="269"/>
      <c r="S63" s="38"/>
      <c r="T63" s="38"/>
      <c r="U63" s="38"/>
      <c r="V63" s="38"/>
      <c r="W63" s="38"/>
      <c r="X63" s="38"/>
      <c r="Y63" s="38"/>
      <c r="Z63" s="38"/>
    </row>
    <row r="64" spans="1:26" x14ac:dyDescent="0.25">
      <c r="A64" s="280">
        <f t="shared" si="3"/>
        <v>62</v>
      </c>
      <c r="B64" s="277"/>
      <c r="C64" s="52" t="str">
        <f t="shared" si="0"/>
        <v>6UCHSF</v>
      </c>
      <c r="D64" s="52"/>
      <c r="E64" s="53">
        <f>+'CALCULO TARIFAS CC '!$U$45</f>
        <v>0.82386810577067515</v>
      </c>
      <c r="F64" s="54">
        <f t="shared" si="4"/>
        <v>533.03499999999997</v>
      </c>
      <c r="G64" s="55">
        <f t="shared" si="2"/>
        <v>439.15</v>
      </c>
      <c r="H64" s="49" t="s">
        <v>276</v>
      </c>
      <c r="I64" s="27" t="s">
        <v>395</v>
      </c>
      <c r="J64" s="27">
        <v>533.03497600000003</v>
      </c>
      <c r="K64" s="38"/>
      <c r="L64" s="381"/>
      <c r="M64" s="268"/>
      <c r="N64" s="269"/>
      <c r="O64" s="269"/>
      <c r="P64" s="283"/>
      <c r="Q64" s="269"/>
      <c r="R64" s="269"/>
      <c r="S64" s="38"/>
      <c r="T64" s="38"/>
      <c r="U64" s="38"/>
      <c r="V64" s="38"/>
      <c r="W64" s="38"/>
      <c r="X64" s="38"/>
      <c r="Y64" s="38"/>
      <c r="Z64" s="38"/>
    </row>
    <row r="65" spans="1:26" x14ac:dyDescent="0.25">
      <c r="A65" s="280">
        <f t="shared" si="3"/>
        <v>63</v>
      </c>
      <c r="B65" s="277"/>
      <c r="C65" s="52" t="str">
        <f t="shared" si="0"/>
        <v>6UCINEANCLAS</v>
      </c>
      <c r="D65" s="52"/>
      <c r="E65" s="53">
        <f>+'CALCULO TARIFAS CC '!$U$45</f>
        <v>0.82386810577067515</v>
      </c>
      <c r="F65" s="54">
        <f t="shared" si="4"/>
        <v>6.9568000000000003</v>
      </c>
      <c r="G65" s="55">
        <f t="shared" si="2"/>
        <v>5.73</v>
      </c>
      <c r="H65" s="49" t="s">
        <v>276</v>
      </c>
      <c r="I65" s="27" t="s">
        <v>766</v>
      </c>
      <c r="J65" s="27">
        <v>6.9568035000000004</v>
      </c>
      <c r="K65" s="38"/>
      <c r="L65" s="381"/>
      <c r="M65" s="268"/>
      <c r="N65" s="269"/>
      <c r="O65" s="269"/>
      <c r="P65" s="283"/>
      <c r="Q65" s="269"/>
      <c r="R65" s="269"/>
      <c r="S65" s="38"/>
      <c r="T65" s="38"/>
      <c r="U65" s="38"/>
      <c r="V65" s="38"/>
      <c r="W65" s="38"/>
      <c r="X65" s="38"/>
      <c r="Y65" s="38"/>
      <c r="Z65" s="38"/>
    </row>
    <row r="66" spans="1:26" x14ac:dyDescent="0.25">
      <c r="A66" s="280">
        <f t="shared" si="3"/>
        <v>64</v>
      </c>
      <c r="B66" s="277"/>
      <c r="C66" s="52" t="str">
        <f t="shared" si="0"/>
        <v>6UCINEMMALL</v>
      </c>
      <c r="D66" s="52"/>
      <c r="E66" s="53">
        <f>+'CALCULO TARIFAS CC '!$U$45</f>
        <v>0.82386810577067515</v>
      </c>
      <c r="F66" s="54">
        <f t="shared" si="4"/>
        <v>13.4903</v>
      </c>
      <c r="G66" s="55">
        <f t="shared" si="2"/>
        <v>11.11</v>
      </c>
      <c r="H66" s="49" t="s">
        <v>276</v>
      </c>
      <c r="I66" s="27" t="s">
        <v>490</v>
      </c>
      <c r="J66" s="27">
        <v>13.490290099999999</v>
      </c>
      <c r="K66" s="38"/>
      <c r="L66" s="381"/>
      <c r="M66" s="268"/>
      <c r="N66" s="269"/>
      <c r="O66" s="269"/>
      <c r="P66" s="283"/>
      <c r="Q66" s="269"/>
      <c r="R66" s="269"/>
      <c r="S66" s="38"/>
      <c r="T66" s="38"/>
      <c r="U66" s="38"/>
      <c r="V66" s="38"/>
      <c r="W66" s="38"/>
      <c r="X66" s="38"/>
      <c r="Y66" s="38"/>
      <c r="Z66" s="38"/>
    </row>
    <row r="67" spans="1:26" x14ac:dyDescent="0.25">
      <c r="A67" s="280">
        <f t="shared" si="3"/>
        <v>65</v>
      </c>
      <c r="B67" s="277"/>
      <c r="C67" s="52" t="str">
        <f t="shared" ref="C67:C130" si="5">I67</f>
        <v>6UCINEPAND</v>
      </c>
      <c r="D67" s="52"/>
      <c r="E67" s="53">
        <f>+'CALCULO TARIFAS CC '!$U$45</f>
        <v>0.82386810577067515</v>
      </c>
      <c r="F67" s="54">
        <f t="shared" ref="F67:F264" si="6">ROUND(J67,4)</f>
        <v>6.4404000000000003</v>
      </c>
      <c r="G67" s="55">
        <f t="shared" si="2"/>
        <v>5.31</v>
      </c>
      <c r="H67" s="49" t="s">
        <v>276</v>
      </c>
      <c r="I67" s="27" t="s">
        <v>491</v>
      </c>
      <c r="J67" s="27">
        <v>6.4404484000000002</v>
      </c>
      <c r="K67" s="38"/>
      <c r="L67" s="381"/>
      <c r="M67" s="268"/>
      <c r="N67" s="269"/>
      <c r="O67" s="269"/>
      <c r="P67" s="283"/>
      <c r="Q67" s="269"/>
      <c r="R67" s="269"/>
      <c r="S67" s="38"/>
      <c r="T67" s="38"/>
      <c r="U67" s="38"/>
      <c r="V67" s="38"/>
      <c r="W67" s="38"/>
      <c r="X67" s="38"/>
      <c r="Y67" s="38"/>
      <c r="Z67" s="38"/>
    </row>
    <row r="68" spans="1:26" x14ac:dyDescent="0.25">
      <c r="A68" s="280">
        <f t="shared" si="3"/>
        <v>66</v>
      </c>
      <c r="B68" s="277"/>
      <c r="C68" s="52" t="str">
        <f t="shared" si="5"/>
        <v>6UCINEPDOR</v>
      </c>
      <c r="D68" s="52"/>
      <c r="E68" s="53">
        <f>+'CALCULO TARIFAS CC '!$U$45</f>
        <v>0.82386810577067515</v>
      </c>
      <c r="F68" s="54">
        <f t="shared" si="6"/>
        <v>11.8147</v>
      </c>
      <c r="G68" s="55">
        <f t="shared" si="2"/>
        <v>9.73</v>
      </c>
      <c r="H68" s="49" t="s">
        <v>276</v>
      </c>
      <c r="I68" s="27" t="s">
        <v>489</v>
      </c>
      <c r="J68" s="27">
        <v>11.814727299999999</v>
      </c>
      <c r="K68" s="38"/>
      <c r="L68" s="381"/>
      <c r="M68" s="268"/>
      <c r="N68" s="269"/>
      <c r="O68" s="269"/>
      <c r="P68" s="283"/>
      <c r="Q68" s="269"/>
      <c r="R68" s="269"/>
      <c r="S68" s="38"/>
      <c r="T68" s="38"/>
      <c r="U68" s="38"/>
      <c r="V68" s="38"/>
      <c r="W68" s="38"/>
      <c r="X68" s="38"/>
      <c r="Y68" s="38"/>
      <c r="Z68" s="38"/>
    </row>
    <row r="69" spans="1:26" x14ac:dyDescent="0.25">
      <c r="A69" s="280">
        <f t="shared" ref="A69:A132" si="7">A68+1</f>
        <v>67</v>
      </c>
      <c r="B69" s="277"/>
      <c r="C69" s="52" t="str">
        <f t="shared" si="5"/>
        <v>6UCINEPMP35</v>
      </c>
      <c r="D69" s="52"/>
      <c r="E69" s="53">
        <f>+'CALCULO TARIFAS CC '!$U$45</f>
        <v>0.82386810577067515</v>
      </c>
      <c r="F69" s="54">
        <f t="shared" si="6"/>
        <v>23.214700000000001</v>
      </c>
      <c r="G69" s="55">
        <f t="shared" si="2"/>
        <v>19.13</v>
      </c>
      <c r="H69" s="49" t="s">
        <v>276</v>
      </c>
      <c r="I69" s="27" t="s">
        <v>528</v>
      </c>
      <c r="J69" s="27">
        <v>23.214705299999999</v>
      </c>
      <c r="K69" s="38"/>
      <c r="L69" s="381"/>
      <c r="M69" s="268"/>
      <c r="N69" s="269"/>
      <c r="O69" s="269"/>
      <c r="P69" s="283"/>
      <c r="Q69" s="269"/>
      <c r="R69" s="269"/>
      <c r="S69" s="38"/>
      <c r="T69" s="38"/>
      <c r="U69" s="38"/>
      <c r="V69" s="38"/>
      <c r="W69" s="38"/>
      <c r="X69" s="38"/>
      <c r="Y69" s="38"/>
      <c r="Z69" s="38"/>
    </row>
    <row r="70" spans="1:26" x14ac:dyDescent="0.25">
      <c r="A70" s="280">
        <f t="shared" si="7"/>
        <v>68</v>
      </c>
      <c r="B70" s="277"/>
      <c r="C70" s="52" t="str">
        <f t="shared" si="5"/>
        <v>6UCINEPSOH81</v>
      </c>
      <c r="D70" s="52"/>
      <c r="E70" s="53">
        <f>+'CALCULO TARIFAS CC '!$U$45</f>
        <v>0.82386810577067515</v>
      </c>
      <c r="F70" s="54">
        <f t="shared" si="6"/>
        <v>9.8545999999999996</v>
      </c>
      <c r="G70" s="55">
        <f t="shared" si="2"/>
        <v>8.1199999999999992</v>
      </c>
      <c r="H70" s="49" t="s">
        <v>276</v>
      </c>
      <c r="I70" s="27" t="s">
        <v>529</v>
      </c>
      <c r="J70" s="27">
        <v>9.8546364999999998</v>
      </c>
      <c r="K70" s="38"/>
      <c r="L70" s="381"/>
      <c r="M70" s="268"/>
      <c r="N70" s="269"/>
      <c r="O70" s="269"/>
      <c r="P70" s="283"/>
      <c r="Q70" s="269"/>
      <c r="R70" s="269"/>
      <c r="S70" s="38"/>
      <c r="T70" s="38"/>
      <c r="U70" s="38"/>
      <c r="V70" s="38"/>
      <c r="W70" s="38"/>
      <c r="X70" s="38"/>
      <c r="Y70" s="38"/>
      <c r="Z70" s="38"/>
    </row>
    <row r="71" spans="1:26" x14ac:dyDescent="0.25">
      <c r="A71" s="280">
        <f t="shared" si="7"/>
        <v>69</v>
      </c>
      <c r="B71" s="277"/>
      <c r="C71" s="52" t="str">
        <f t="shared" si="5"/>
        <v>6UCINEPWE54</v>
      </c>
      <c r="D71" s="52"/>
      <c r="E71" s="53">
        <f>+'CALCULO TARIFAS CC '!$U$45</f>
        <v>0.82386810577067515</v>
      </c>
      <c r="F71" s="54">
        <f t="shared" si="6"/>
        <v>9.1836000000000002</v>
      </c>
      <c r="G71" s="55">
        <f t="shared" si="2"/>
        <v>7.57</v>
      </c>
      <c r="H71" s="49" t="s">
        <v>276</v>
      </c>
      <c r="I71" s="27" t="s">
        <v>530</v>
      </c>
      <c r="J71" s="27">
        <v>9.1835999000000008</v>
      </c>
      <c r="K71" s="38"/>
      <c r="L71" s="381"/>
      <c r="M71" s="268"/>
      <c r="N71" s="269"/>
      <c r="O71" s="269"/>
      <c r="P71" s="283"/>
      <c r="Q71" s="269"/>
      <c r="R71" s="269"/>
      <c r="S71" s="38"/>
      <c r="T71" s="38"/>
      <c r="U71" s="38"/>
      <c r="V71" s="38"/>
      <c r="W71" s="38"/>
      <c r="X71" s="38"/>
      <c r="Y71" s="38"/>
      <c r="Z71" s="38"/>
    </row>
    <row r="72" spans="1:26" x14ac:dyDescent="0.25">
      <c r="A72" s="280">
        <f t="shared" si="7"/>
        <v>70</v>
      </c>
      <c r="B72" s="277"/>
      <c r="C72" s="52" t="str">
        <f t="shared" si="5"/>
        <v>6UCLARO</v>
      </c>
      <c r="D72" s="52"/>
      <c r="E72" s="53">
        <f>+'CALCULO TARIFAS CC '!$U$45</f>
        <v>0.82386810577067515</v>
      </c>
      <c r="F72" s="54">
        <f t="shared" si="6"/>
        <v>238.51859999999999</v>
      </c>
      <c r="G72" s="55">
        <f t="shared" si="2"/>
        <v>196.51</v>
      </c>
      <c r="H72" s="49" t="s">
        <v>276</v>
      </c>
      <c r="I72" s="27" t="s">
        <v>42</v>
      </c>
      <c r="J72" s="27">
        <v>238.51863979999999</v>
      </c>
      <c r="K72" s="38"/>
      <c r="L72" s="381"/>
      <c r="M72" s="268"/>
      <c r="N72" s="269"/>
      <c r="O72" s="269"/>
      <c r="P72" s="283"/>
      <c r="Q72" s="269"/>
      <c r="R72" s="269"/>
      <c r="S72" s="38"/>
      <c r="T72" s="38"/>
      <c r="U72" s="38"/>
      <c r="V72" s="38"/>
      <c r="W72" s="38"/>
      <c r="X72" s="38"/>
      <c r="Y72" s="38"/>
      <c r="Z72" s="38"/>
    </row>
    <row r="73" spans="1:26" s="300" customFormat="1" x14ac:dyDescent="0.25">
      <c r="A73" s="280">
        <f t="shared" si="7"/>
        <v>71</v>
      </c>
      <c r="B73" s="277"/>
      <c r="C73" s="52" t="str">
        <f t="shared" si="5"/>
        <v>6UCMATTM</v>
      </c>
      <c r="D73" s="52"/>
      <c r="E73" s="53">
        <f>+'CALCULO TARIFAS CC '!$U$45</f>
        <v>0.82386810577067515</v>
      </c>
      <c r="F73" s="54">
        <f t="shared" ref="F73:F124" si="8">ROUND(J73,4)</f>
        <v>8.1325000000000003</v>
      </c>
      <c r="G73" s="55">
        <f t="shared" ref="G73:G124" si="9">+ROUND(F73*E73,2)</f>
        <v>6.7</v>
      </c>
      <c r="H73" s="49" t="s">
        <v>276</v>
      </c>
      <c r="I73" s="27" t="s">
        <v>466</v>
      </c>
      <c r="J73" s="27">
        <v>8.1325275999999995</v>
      </c>
      <c r="K73" s="38"/>
      <c r="L73" s="381"/>
      <c r="M73" s="268"/>
      <c r="N73" s="269"/>
      <c r="O73" s="269"/>
      <c r="P73" s="283"/>
      <c r="Q73" s="269"/>
      <c r="R73" s="269"/>
      <c r="S73" s="38"/>
      <c r="T73" s="38"/>
      <c r="U73" s="38"/>
      <c r="V73" s="38"/>
      <c r="W73" s="38"/>
      <c r="X73" s="38"/>
      <c r="Y73" s="38"/>
      <c r="Z73" s="38"/>
    </row>
    <row r="74" spans="1:26" s="300" customFormat="1" x14ac:dyDescent="0.25">
      <c r="A74" s="280">
        <f t="shared" si="7"/>
        <v>72</v>
      </c>
      <c r="B74" s="277"/>
      <c r="C74" s="52" t="str">
        <f t="shared" si="5"/>
        <v>6UCMP1</v>
      </c>
      <c r="D74" s="52"/>
      <c r="E74" s="53">
        <f>+'CALCULO TARIFAS CC '!$U$45</f>
        <v>0.82386810577067515</v>
      </c>
      <c r="F74" s="54">
        <f t="shared" si="8"/>
        <v>144.3082</v>
      </c>
      <c r="G74" s="55">
        <f t="shared" si="9"/>
        <v>118.89</v>
      </c>
      <c r="H74" s="49" t="s">
        <v>276</v>
      </c>
      <c r="I74" s="27" t="s">
        <v>741</v>
      </c>
      <c r="J74" s="27">
        <v>144.30815999999999</v>
      </c>
      <c r="K74" s="38"/>
      <c r="L74" s="381"/>
      <c r="M74" s="268"/>
      <c r="N74" s="269"/>
      <c r="O74" s="269"/>
      <c r="P74" s="283"/>
      <c r="Q74" s="269"/>
      <c r="R74" s="269"/>
      <c r="S74" s="38"/>
      <c r="T74" s="38"/>
      <c r="U74" s="38"/>
      <c r="V74" s="38"/>
      <c r="W74" s="38"/>
      <c r="X74" s="38"/>
      <c r="Y74" s="38"/>
      <c r="Z74" s="38"/>
    </row>
    <row r="75" spans="1:26" s="300" customFormat="1" x14ac:dyDescent="0.25">
      <c r="A75" s="280">
        <f t="shared" si="7"/>
        <v>73</v>
      </c>
      <c r="B75" s="277"/>
      <c r="C75" s="52" t="str">
        <f t="shared" si="5"/>
        <v>6UCMP2</v>
      </c>
      <c r="D75" s="52"/>
      <c r="E75" s="53">
        <f>+'CALCULO TARIFAS CC '!$U$45</f>
        <v>0.82386810577067515</v>
      </c>
      <c r="F75" s="54">
        <f t="shared" si="8"/>
        <v>261.97289999999998</v>
      </c>
      <c r="G75" s="55">
        <f t="shared" si="9"/>
        <v>215.83</v>
      </c>
      <c r="H75" s="49" t="s">
        <v>276</v>
      </c>
      <c r="I75" s="27" t="s">
        <v>742</v>
      </c>
      <c r="J75" s="27">
        <v>261.97288070000002</v>
      </c>
      <c r="K75" s="38"/>
      <c r="L75" s="381"/>
      <c r="M75" s="268"/>
      <c r="N75" s="269"/>
      <c r="O75" s="269"/>
      <c r="P75" s="283"/>
      <c r="Q75" s="269"/>
      <c r="R75" s="269"/>
      <c r="S75" s="38"/>
      <c r="T75" s="38"/>
      <c r="U75" s="38"/>
      <c r="V75" s="38"/>
      <c r="W75" s="38"/>
      <c r="X75" s="38"/>
      <c r="Y75" s="38"/>
      <c r="Z75" s="38"/>
    </row>
    <row r="76" spans="1:26" s="300" customFormat="1" x14ac:dyDescent="0.25">
      <c r="A76" s="280">
        <f t="shared" si="7"/>
        <v>74</v>
      </c>
      <c r="B76" s="277"/>
      <c r="C76" s="52" t="str">
        <f t="shared" si="5"/>
        <v>6UCNAL</v>
      </c>
      <c r="D76" s="52"/>
      <c r="E76" s="53">
        <f>+'CALCULO TARIFAS CC '!$U$45</f>
        <v>0.82386810577067515</v>
      </c>
      <c r="F76" s="54">
        <f t="shared" si="8"/>
        <v>880.97850000000005</v>
      </c>
      <c r="G76" s="55">
        <f t="shared" si="9"/>
        <v>725.81</v>
      </c>
      <c r="H76" s="49" t="s">
        <v>276</v>
      </c>
      <c r="I76" s="27" t="s">
        <v>43</v>
      </c>
      <c r="J76" s="27">
        <v>880.97847330000002</v>
      </c>
      <c r="K76" s="38"/>
      <c r="L76" s="381"/>
      <c r="M76" s="268"/>
      <c r="N76" s="269"/>
      <c r="O76" s="269"/>
      <c r="P76" s="283"/>
      <c r="Q76" s="269"/>
      <c r="R76" s="269"/>
      <c r="S76" s="38"/>
      <c r="T76" s="38"/>
      <c r="U76" s="38"/>
      <c r="V76" s="38"/>
      <c r="W76" s="38"/>
      <c r="X76" s="38"/>
      <c r="Y76" s="38"/>
      <c r="Z76" s="38"/>
    </row>
    <row r="77" spans="1:26" s="300" customFormat="1" x14ac:dyDescent="0.25">
      <c r="A77" s="280">
        <f t="shared" si="7"/>
        <v>75</v>
      </c>
      <c r="B77" s="277"/>
      <c r="C77" s="52" t="str">
        <f t="shared" si="5"/>
        <v>6UCONDA12OC</v>
      </c>
      <c r="D77" s="52"/>
      <c r="E77" s="53">
        <f>+'CALCULO TARIFAS CC '!$U$45</f>
        <v>0.82386810577067515</v>
      </c>
      <c r="F77" s="54">
        <f t="shared" si="8"/>
        <v>661.44370000000004</v>
      </c>
      <c r="G77" s="55">
        <f t="shared" si="9"/>
        <v>544.94000000000005</v>
      </c>
      <c r="H77" s="49" t="s">
        <v>276</v>
      </c>
      <c r="I77" s="27" t="s">
        <v>356</v>
      </c>
      <c r="J77" s="27">
        <v>661.44370289999995</v>
      </c>
      <c r="K77" s="38"/>
      <c r="L77" s="381"/>
      <c r="M77" s="268"/>
      <c r="N77" s="269"/>
      <c r="O77" s="269"/>
      <c r="P77" s="283"/>
      <c r="Q77" s="269"/>
      <c r="R77" s="269"/>
      <c r="S77" s="38"/>
      <c r="T77" s="38"/>
      <c r="U77" s="38"/>
      <c r="V77" s="38"/>
      <c r="W77" s="38"/>
      <c r="X77" s="38"/>
      <c r="Y77" s="38"/>
      <c r="Z77" s="38"/>
    </row>
    <row r="78" spans="1:26" s="300" customFormat="1" x14ac:dyDescent="0.25">
      <c r="A78" s="280">
        <f t="shared" si="7"/>
        <v>76</v>
      </c>
      <c r="B78" s="277"/>
      <c r="C78" s="52" t="str">
        <f t="shared" si="5"/>
        <v>6UCONTRAL</v>
      </c>
      <c r="D78" s="52"/>
      <c r="E78" s="53">
        <f>+'CALCULO TARIFAS CC '!$U$45</f>
        <v>0.82386810577067515</v>
      </c>
      <c r="F78" s="54">
        <f t="shared" si="8"/>
        <v>149.1645</v>
      </c>
      <c r="G78" s="55">
        <f t="shared" si="9"/>
        <v>122.89</v>
      </c>
      <c r="H78" s="49" t="s">
        <v>276</v>
      </c>
      <c r="I78" s="27" t="s">
        <v>44</v>
      </c>
      <c r="J78" s="27">
        <v>149.1645475</v>
      </c>
      <c r="K78" s="38"/>
      <c r="L78" s="381"/>
      <c r="M78" s="268"/>
      <c r="N78" s="269"/>
      <c r="O78" s="269"/>
      <c r="P78" s="283"/>
      <c r="Q78" s="269"/>
      <c r="R78" s="269"/>
      <c r="S78" s="38"/>
      <c r="T78" s="38"/>
      <c r="U78" s="38"/>
      <c r="V78" s="38"/>
      <c r="W78" s="38"/>
      <c r="X78" s="38"/>
      <c r="Y78" s="38"/>
      <c r="Z78" s="38"/>
    </row>
    <row r="79" spans="1:26" s="300" customFormat="1" x14ac:dyDescent="0.25">
      <c r="A79" s="280">
        <f t="shared" si="7"/>
        <v>77</v>
      </c>
      <c r="B79" s="277"/>
      <c r="C79" s="52" t="str">
        <f t="shared" si="5"/>
        <v>6GCORPISTMO</v>
      </c>
      <c r="D79" s="52"/>
      <c r="E79" s="53">
        <f>+'CALCULO TARIFAS CC '!$U$45</f>
        <v>0.82386810577067515</v>
      </c>
      <c r="F79" s="54">
        <f t="shared" si="8"/>
        <v>1.8200000000000001E-2</v>
      </c>
      <c r="G79" s="55">
        <f t="shared" si="9"/>
        <v>0.01</v>
      </c>
      <c r="H79" s="49" t="s">
        <v>276</v>
      </c>
      <c r="I79" s="27" t="s">
        <v>852</v>
      </c>
      <c r="J79" s="27">
        <v>1.8213E-2</v>
      </c>
      <c r="K79" s="38"/>
      <c r="L79" s="381"/>
      <c r="M79" s="268"/>
      <c r="N79" s="269"/>
      <c r="O79" s="269"/>
      <c r="P79" s="283"/>
      <c r="Q79" s="269"/>
      <c r="R79" s="269"/>
      <c r="S79" s="38"/>
      <c r="T79" s="38"/>
      <c r="U79" s="38"/>
      <c r="V79" s="38"/>
      <c r="W79" s="38"/>
      <c r="X79" s="38"/>
      <c r="Y79" s="38"/>
      <c r="Z79" s="38"/>
    </row>
    <row r="80" spans="1:26" s="300" customFormat="1" x14ac:dyDescent="0.25">
      <c r="A80" s="280">
        <f t="shared" si="7"/>
        <v>78</v>
      </c>
      <c r="B80" s="277"/>
      <c r="C80" s="52" t="str">
        <f t="shared" si="5"/>
        <v>6UCORUNA13</v>
      </c>
      <c r="D80" s="52"/>
      <c r="E80" s="53">
        <f>+'CALCULO TARIFAS CC '!$U$45</f>
        <v>0.82386810577067515</v>
      </c>
      <c r="F80" s="54">
        <f t="shared" si="8"/>
        <v>43.045699999999997</v>
      </c>
      <c r="G80" s="55">
        <f t="shared" si="9"/>
        <v>35.46</v>
      </c>
      <c r="H80" s="49" t="s">
        <v>276</v>
      </c>
      <c r="I80" s="27" t="s">
        <v>531</v>
      </c>
      <c r="J80" s="27">
        <v>43.045712000000002</v>
      </c>
      <c r="K80" s="38"/>
      <c r="L80" s="381"/>
      <c r="M80" s="268"/>
      <c r="N80" s="269"/>
      <c r="O80" s="269"/>
      <c r="P80" s="283"/>
      <c r="Q80" s="269"/>
      <c r="R80" s="269"/>
      <c r="S80" s="38"/>
      <c r="T80" s="38"/>
      <c r="U80" s="38"/>
      <c r="V80" s="38"/>
      <c r="W80" s="38"/>
      <c r="X80" s="38"/>
      <c r="Y80" s="38"/>
      <c r="Z80" s="38"/>
    </row>
    <row r="81" spans="1:26" s="300" customFormat="1" x14ac:dyDescent="0.25">
      <c r="A81" s="280">
        <f t="shared" si="7"/>
        <v>79</v>
      </c>
      <c r="B81" s="277"/>
      <c r="C81" s="52" t="str">
        <f t="shared" si="5"/>
        <v>6UCPBCEN31</v>
      </c>
      <c r="D81" s="52"/>
      <c r="E81" s="53">
        <f>+'CALCULO TARIFAS CC '!$U$45</f>
        <v>0.82386810577067515</v>
      </c>
      <c r="F81" s="54">
        <f t="shared" si="8"/>
        <v>76.172200000000004</v>
      </c>
      <c r="G81" s="55">
        <f t="shared" si="9"/>
        <v>62.76</v>
      </c>
      <c r="H81" s="49" t="s">
        <v>276</v>
      </c>
      <c r="I81" s="27" t="s">
        <v>532</v>
      </c>
      <c r="J81" s="27">
        <v>76.172223700000004</v>
      </c>
      <c r="K81" s="38"/>
      <c r="L81" s="381"/>
      <c r="M81" s="268"/>
      <c r="N81" s="269"/>
      <c r="O81" s="269"/>
      <c r="P81" s="283"/>
      <c r="Q81" s="269"/>
      <c r="R81" s="269"/>
      <c r="S81" s="38"/>
      <c r="T81" s="38"/>
      <c r="U81" s="38"/>
      <c r="V81" s="38"/>
      <c r="W81" s="38"/>
      <c r="X81" s="38"/>
      <c r="Y81" s="38"/>
      <c r="Z81" s="38"/>
    </row>
    <row r="82" spans="1:26" s="300" customFormat="1" x14ac:dyDescent="0.25">
      <c r="A82" s="280">
        <f t="shared" si="7"/>
        <v>80</v>
      </c>
      <c r="B82" s="277"/>
      <c r="C82" s="52" t="str">
        <f t="shared" si="5"/>
        <v>6UCROWNPMA</v>
      </c>
      <c r="D82" s="52"/>
      <c r="E82" s="53">
        <f>+'CALCULO TARIFAS CC '!$U$45</f>
        <v>0.82386810577067515</v>
      </c>
      <c r="F82" s="54">
        <f t="shared" si="8"/>
        <v>130.96270000000001</v>
      </c>
      <c r="G82" s="55">
        <f t="shared" si="9"/>
        <v>107.9</v>
      </c>
      <c r="H82" s="49" t="s">
        <v>276</v>
      </c>
      <c r="I82" s="27" t="s">
        <v>673</v>
      </c>
      <c r="J82" s="27">
        <v>130.96270530000001</v>
      </c>
      <c r="K82" s="38"/>
      <c r="L82" s="381"/>
      <c r="M82" s="268"/>
      <c r="N82" s="269"/>
      <c r="O82" s="269"/>
      <c r="P82" s="283"/>
      <c r="Q82" s="269"/>
      <c r="R82" s="269"/>
      <c r="S82" s="38"/>
      <c r="T82" s="38"/>
      <c r="U82" s="38"/>
      <c r="V82" s="38"/>
      <c r="W82" s="38"/>
      <c r="X82" s="38"/>
      <c r="Y82" s="38"/>
      <c r="Z82" s="38"/>
    </row>
    <row r="83" spans="1:26" s="300" customFormat="1" x14ac:dyDescent="0.25">
      <c r="A83" s="280">
        <f t="shared" si="7"/>
        <v>81</v>
      </c>
      <c r="B83" s="277"/>
      <c r="C83" s="52" t="str">
        <f t="shared" si="5"/>
        <v>6UCSS</v>
      </c>
      <c r="D83" s="52"/>
      <c r="E83" s="53">
        <f>+'CALCULO TARIFAS CC '!$U$45</f>
        <v>0.82386810577067515</v>
      </c>
      <c r="F83" s="54">
        <f t="shared" si="8"/>
        <v>1677.9499000000001</v>
      </c>
      <c r="G83" s="55">
        <f t="shared" si="9"/>
        <v>1382.41</v>
      </c>
      <c r="H83" s="49" t="s">
        <v>276</v>
      </c>
      <c r="I83" s="27" t="s">
        <v>45</v>
      </c>
      <c r="J83" s="27">
        <v>1677.9498602000001</v>
      </c>
      <c r="K83" s="38"/>
      <c r="L83" s="381"/>
      <c r="M83" s="268"/>
      <c r="N83" s="269"/>
      <c r="O83" s="269"/>
      <c r="P83" s="283"/>
      <c r="Q83" s="269"/>
      <c r="R83" s="269"/>
      <c r="S83" s="38"/>
      <c r="T83" s="38"/>
      <c r="U83" s="38"/>
      <c r="V83" s="38"/>
      <c r="W83" s="38"/>
      <c r="X83" s="38"/>
      <c r="Y83" s="38"/>
      <c r="Z83" s="38"/>
    </row>
    <row r="84" spans="1:26" s="300" customFormat="1" x14ac:dyDescent="0.25">
      <c r="A84" s="280">
        <f t="shared" si="7"/>
        <v>82</v>
      </c>
      <c r="B84" s="277"/>
      <c r="C84" s="52" t="str">
        <f t="shared" si="5"/>
        <v>6UCUNION20</v>
      </c>
      <c r="D84" s="52"/>
      <c r="E84" s="53">
        <f>+'CALCULO TARIFAS CC '!$U$45</f>
        <v>0.82386810577067515</v>
      </c>
      <c r="F84" s="54">
        <f t="shared" si="8"/>
        <v>115.12269999999999</v>
      </c>
      <c r="G84" s="55">
        <f t="shared" si="9"/>
        <v>94.85</v>
      </c>
      <c r="H84" s="49" t="s">
        <v>276</v>
      </c>
      <c r="I84" s="27" t="s">
        <v>533</v>
      </c>
      <c r="J84" s="27">
        <v>115.12271579999999</v>
      </c>
      <c r="K84" s="38"/>
      <c r="L84" s="381"/>
      <c r="M84" s="268"/>
      <c r="N84" s="269"/>
      <c r="O84" s="269"/>
      <c r="P84" s="283"/>
      <c r="Q84" s="269"/>
      <c r="R84" s="269"/>
      <c r="S84" s="38"/>
      <c r="T84" s="38"/>
      <c r="U84" s="38"/>
      <c r="V84" s="38"/>
      <c r="W84" s="38"/>
      <c r="X84" s="38"/>
      <c r="Y84" s="38"/>
      <c r="Z84" s="38"/>
    </row>
    <row r="85" spans="1:26" s="300" customFormat="1" x14ac:dyDescent="0.25">
      <c r="A85" s="280">
        <f t="shared" si="7"/>
        <v>83</v>
      </c>
      <c r="B85" s="277"/>
      <c r="C85" s="52" t="str">
        <f t="shared" si="5"/>
        <v>6UCWAGUAS</v>
      </c>
      <c r="D85" s="52"/>
      <c r="E85" s="53">
        <f>+'CALCULO TARIFAS CC '!$U$45</f>
        <v>0.82386810577067515</v>
      </c>
      <c r="F85" s="54">
        <f t="shared" si="8"/>
        <v>90.1327</v>
      </c>
      <c r="G85" s="55">
        <f t="shared" si="9"/>
        <v>74.260000000000005</v>
      </c>
      <c r="H85" s="49" t="s">
        <v>276</v>
      </c>
      <c r="I85" s="27" t="s">
        <v>414</v>
      </c>
      <c r="J85" s="27">
        <v>90.132740400000003</v>
      </c>
      <c r="K85" s="38"/>
      <c r="L85" s="381"/>
      <c r="M85" s="268"/>
      <c r="N85" s="269"/>
      <c r="O85" s="269"/>
      <c r="P85" s="283"/>
      <c r="Q85" s="269"/>
      <c r="R85" s="269"/>
      <c r="S85" s="38"/>
      <c r="T85" s="38"/>
      <c r="U85" s="38"/>
      <c r="V85" s="38"/>
      <c r="W85" s="38"/>
      <c r="X85" s="38"/>
      <c r="Y85" s="38"/>
      <c r="Z85" s="38"/>
    </row>
    <row r="86" spans="1:26" s="300" customFormat="1" x14ac:dyDescent="0.25">
      <c r="A86" s="280">
        <f t="shared" si="7"/>
        <v>84</v>
      </c>
      <c r="B86" s="277"/>
      <c r="C86" s="52" t="str">
        <f t="shared" si="5"/>
        <v>6UCWBAL</v>
      </c>
      <c r="D86" s="52"/>
      <c r="E86" s="53">
        <f>+'CALCULO TARIFAS CC '!$U$45</f>
        <v>0.82386810577067515</v>
      </c>
      <c r="F86" s="54">
        <f t="shared" si="8"/>
        <v>249.20519999999999</v>
      </c>
      <c r="G86" s="55">
        <f t="shared" si="9"/>
        <v>205.31</v>
      </c>
      <c r="H86" s="49" t="s">
        <v>276</v>
      </c>
      <c r="I86" s="27" t="s">
        <v>408</v>
      </c>
      <c r="J86" s="27">
        <v>249.2051645</v>
      </c>
      <c r="K86" s="38"/>
      <c r="L86" s="381"/>
      <c r="M86" s="268"/>
      <c r="N86" s="269"/>
      <c r="O86" s="269"/>
      <c r="P86" s="283"/>
      <c r="Q86" s="269"/>
      <c r="R86" s="269"/>
      <c r="S86" s="38"/>
      <c r="T86" s="38"/>
      <c r="U86" s="38"/>
      <c r="V86" s="38"/>
      <c r="W86" s="38"/>
      <c r="X86" s="38"/>
      <c r="Y86" s="38"/>
      <c r="Z86" s="38"/>
    </row>
    <row r="87" spans="1:26" s="300" customFormat="1" x14ac:dyDescent="0.25">
      <c r="A87" s="280">
        <f t="shared" si="7"/>
        <v>85</v>
      </c>
      <c r="B87" s="277"/>
      <c r="C87" s="52" t="str">
        <f t="shared" si="5"/>
        <v>6UCWCOLON</v>
      </c>
      <c r="D87" s="52"/>
      <c r="E87" s="53">
        <f>+'CALCULO TARIFAS CC '!$U$45</f>
        <v>0.82386810577067515</v>
      </c>
      <c r="F87" s="54">
        <f t="shared" si="8"/>
        <v>104.7513</v>
      </c>
      <c r="G87" s="55">
        <f t="shared" si="9"/>
        <v>86.3</v>
      </c>
      <c r="H87" s="49" t="s">
        <v>276</v>
      </c>
      <c r="I87" s="27" t="s">
        <v>431</v>
      </c>
      <c r="J87" s="27">
        <v>104.75131620000001</v>
      </c>
      <c r="K87" s="38"/>
      <c r="L87" s="381"/>
      <c r="M87" s="268"/>
      <c r="N87" s="269"/>
      <c r="O87" s="269"/>
      <c r="P87" s="283"/>
      <c r="Q87" s="269"/>
      <c r="R87" s="269"/>
      <c r="S87" s="38"/>
      <c r="T87" s="38"/>
      <c r="U87" s="38"/>
      <c r="V87" s="38"/>
      <c r="W87" s="38"/>
      <c r="X87" s="38"/>
      <c r="Y87" s="38"/>
      <c r="Z87" s="38"/>
    </row>
    <row r="88" spans="1:26" s="300" customFormat="1" x14ac:dyDescent="0.25">
      <c r="A88" s="280">
        <f t="shared" si="7"/>
        <v>86</v>
      </c>
      <c r="B88" s="277"/>
      <c r="C88" s="52" t="str">
        <f t="shared" si="5"/>
        <v>6UCWDAVID</v>
      </c>
      <c r="D88" s="52"/>
      <c r="E88" s="53">
        <f>+'CALCULO TARIFAS CC '!$U$45</f>
        <v>0.82386810577067515</v>
      </c>
      <c r="F88" s="54">
        <f t="shared" si="8"/>
        <v>110.7319</v>
      </c>
      <c r="G88" s="55">
        <f t="shared" si="9"/>
        <v>91.23</v>
      </c>
      <c r="H88" s="49" t="s">
        <v>276</v>
      </c>
      <c r="I88" s="27" t="s">
        <v>416</v>
      </c>
      <c r="J88" s="27">
        <v>110.73194820000001</v>
      </c>
      <c r="K88" s="38"/>
      <c r="L88" s="381"/>
      <c r="M88" s="268"/>
      <c r="N88" s="269"/>
      <c r="O88" s="269"/>
      <c r="P88" s="283"/>
      <c r="Q88" s="269"/>
      <c r="R88" s="269"/>
      <c r="S88" s="38"/>
      <c r="T88" s="38"/>
      <c r="U88" s="38"/>
      <c r="V88" s="38"/>
      <c r="W88" s="38"/>
      <c r="X88" s="38"/>
      <c r="Y88" s="38"/>
      <c r="Z88" s="38"/>
    </row>
    <row r="89" spans="1:26" s="300" customFormat="1" x14ac:dyDescent="0.25">
      <c r="A89" s="280">
        <f t="shared" si="7"/>
        <v>87</v>
      </c>
      <c r="B89" s="277"/>
      <c r="C89" s="52" t="str">
        <f t="shared" si="5"/>
        <v>6UCWDORADO</v>
      </c>
      <c r="D89" s="52"/>
      <c r="E89" s="53">
        <f>+'CALCULO TARIFAS CC '!$U$45</f>
        <v>0.82386810577067515</v>
      </c>
      <c r="F89" s="54">
        <f t="shared" si="8"/>
        <v>168.2414</v>
      </c>
      <c r="G89" s="55">
        <f t="shared" si="9"/>
        <v>138.61000000000001</v>
      </c>
      <c r="H89" s="49" t="s">
        <v>276</v>
      </c>
      <c r="I89" s="27" t="s">
        <v>428</v>
      </c>
      <c r="J89" s="27">
        <v>168.24139510000001</v>
      </c>
      <c r="K89" s="38"/>
      <c r="L89" s="381"/>
      <c r="M89" s="268"/>
      <c r="N89" s="269"/>
      <c r="O89" s="269"/>
      <c r="P89" s="283"/>
      <c r="Q89" s="269"/>
      <c r="R89" s="269"/>
      <c r="S89" s="38"/>
      <c r="T89" s="38"/>
      <c r="U89" s="38"/>
      <c r="V89" s="38"/>
      <c r="W89" s="38"/>
      <c r="X89" s="38"/>
      <c r="Y89" s="38"/>
      <c r="Z89" s="38"/>
    </row>
    <row r="90" spans="1:26" s="300" customFormat="1" x14ac:dyDescent="0.25">
      <c r="A90" s="280">
        <f t="shared" si="7"/>
        <v>88</v>
      </c>
      <c r="B90" s="277"/>
      <c r="C90" s="52" t="str">
        <f t="shared" si="5"/>
        <v>6UCWEXP</v>
      </c>
      <c r="D90" s="52"/>
      <c r="E90" s="53">
        <f>+'CALCULO TARIFAS CC '!$U$45</f>
        <v>0.82386810577067515</v>
      </c>
      <c r="F90" s="54">
        <f t="shared" si="8"/>
        <v>68.927599999999998</v>
      </c>
      <c r="G90" s="55">
        <f t="shared" si="9"/>
        <v>56.79</v>
      </c>
      <c r="H90" s="49" t="s">
        <v>276</v>
      </c>
      <c r="I90" s="27" t="s">
        <v>415</v>
      </c>
      <c r="J90" s="27">
        <v>68.927589400000002</v>
      </c>
      <c r="K90" s="38"/>
      <c r="L90" s="381"/>
      <c r="M90" s="268"/>
      <c r="N90" s="269"/>
      <c r="O90" s="269"/>
      <c r="P90" s="283"/>
      <c r="Q90" s="269"/>
      <c r="R90" s="269"/>
      <c r="S90" s="38"/>
      <c r="T90" s="38"/>
      <c r="U90" s="38"/>
      <c r="V90" s="38"/>
      <c r="W90" s="38"/>
      <c r="X90" s="38"/>
      <c r="Y90" s="38"/>
      <c r="Z90" s="38"/>
    </row>
    <row r="91" spans="1:26" s="300" customFormat="1" x14ac:dyDescent="0.25">
      <c r="A91" s="280">
        <f t="shared" si="7"/>
        <v>89</v>
      </c>
      <c r="B91" s="277"/>
      <c r="C91" s="52" t="str">
        <f t="shared" si="5"/>
        <v>6UCWHOPA</v>
      </c>
      <c r="D91" s="52"/>
      <c r="E91" s="53">
        <f>+'CALCULO TARIFAS CC '!$U$45</f>
        <v>0.82386810577067515</v>
      </c>
      <c r="F91" s="54">
        <f t="shared" si="8"/>
        <v>223.54679999999999</v>
      </c>
      <c r="G91" s="55">
        <f t="shared" si="9"/>
        <v>184.17</v>
      </c>
      <c r="H91" s="49" t="s">
        <v>276</v>
      </c>
      <c r="I91" s="27" t="s">
        <v>433</v>
      </c>
      <c r="J91" s="27">
        <v>223.54683840000001</v>
      </c>
      <c r="K91" s="38"/>
      <c r="L91" s="381"/>
      <c r="M91" s="268"/>
      <c r="N91" s="269"/>
      <c r="O91" s="269"/>
      <c r="P91" s="283"/>
      <c r="Q91" s="269"/>
      <c r="R91" s="269"/>
      <c r="S91" s="38"/>
      <c r="T91" s="38"/>
      <c r="U91" s="38"/>
      <c r="V91" s="38"/>
      <c r="W91" s="38"/>
      <c r="X91" s="38"/>
      <c r="Y91" s="38"/>
      <c r="Z91" s="38"/>
    </row>
    <row r="92" spans="1:26" s="300" customFormat="1" x14ac:dyDescent="0.25">
      <c r="A92" s="280">
        <f t="shared" si="7"/>
        <v>90</v>
      </c>
      <c r="B92" s="277"/>
      <c r="C92" s="52" t="str">
        <f t="shared" si="5"/>
        <v>6UCWHOPB</v>
      </c>
      <c r="D92" s="52"/>
      <c r="E92" s="53">
        <f>+'CALCULO TARIFAS CC '!$U$45</f>
        <v>0.82386810577067515</v>
      </c>
      <c r="F92" s="54">
        <f t="shared" si="8"/>
        <v>284.85050000000001</v>
      </c>
      <c r="G92" s="55">
        <f t="shared" si="9"/>
        <v>234.68</v>
      </c>
      <c r="H92" s="49" t="s">
        <v>276</v>
      </c>
      <c r="I92" s="27" t="s">
        <v>409</v>
      </c>
      <c r="J92" s="27">
        <v>284.85049859999998</v>
      </c>
      <c r="K92" s="38"/>
      <c r="L92" s="381"/>
      <c r="M92" s="268"/>
      <c r="N92" s="269"/>
      <c r="O92" s="269"/>
      <c r="P92" s="283"/>
      <c r="Q92" s="269"/>
      <c r="R92" s="269"/>
      <c r="S92" s="38"/>
      <c r="T92" s="38"/>
      <c r="U92" s="38"/>
      <c r="V92" s="38"/>
      <c r="W92" s="38"/>
      <c r="X92" s="38"/>
      <c r="Y92" s="38"/>
      <c r="Z92" s="38"/>
    </row>
    <row r="93" spans="1:26" s="300" customFormat="1" x14ac:dyDescent="0.25">
      <c r="A93" s="280">
        <f t="shared" si="7"/>
        <v>91</v>
      </c>
      <c r="B93" s="277"/>
      <c r="C93" s="52" t="str">
        <f t="shared" si="5"/>
        <v>6UCWJFRA1</v>
      </c>
      <c r="D93" s="52"/>
      <c r="E93" s="53">
        <f>+'CALCULO TARIFAS CC '!$U$45</f>
        <v>0.82386810577067515</v>
      </c>
      <c r="F93" s="54">
        <f t="shared" si="8"/>
        <v>251.35599999999999</v>
      </c>
      <c r="G93" s="55">
        <f t="shared" si="9"/>
        <v>207.08</v>
      </c>
      <c r="H93" s="49" t="s">
        <v>276</v>
      </c>
      <c r="I93" s="27" t="s">
        <v>432</v>
      </c>
      <c r="J93" s="27">
        <v>251.35596269999999</v>
      </c>
      <c r="K93" s="38"/>
      <c r="L93" s="381"/>
      <c r="M93" s="268"/>
      <c r="N93" s="269"/>
      <c r="O93" s="269"/>
      <c r="P93" s="283"/>
      <c r="Q93" s="269"/>
      <c r="R93" s="269"/>
      <c r="S93" s="38"/>
      <c r="T93" s="38"/>
      <c r="U93" s="38"/>
      <c r="V93" s="38"/>
      <c r="W93" s="38"/>
      <c r="X93" s="38"/>
      <c r="Y93" s="38"/>
      <c r="Z93" s="38"/>
    </row>
    <row r="94" spans="1:26" s="300" customFormat="1" x14ac:dyDescent="0.25">
      <c r="A94" s="280">
        <f t="shared" si="7"/>
        <v>92</v>
      </c>
      <c r="B94" s="277"/>
      <c r="C94" s="52" t="str">
        <f t="shared" si="5"/>
        <v>6UCWJFRA2</v>
      </c>
      <c r="D94" s="52"/>
      <c r="E94" s="53">
        <f>+'CALCULO TARIFAS CC '!$U$45</f>
        <v>0.82386810577067515</v>
      </c>
      <c r="F94" s="54">
        <f t="shared" si="8"/>
        <v>380.54759999999999</v>
      </c>
      <c r="G94" s="55">
        <f t="shared" si="9"/>
        <v>313.52</v>
      </c>
      <c r="H94" s="49" t="s">
        <v>276</v>
      </c>
      <c r="I94" s="27" t="s">
        <v>410</v>
      </c>
      <c r="J94" s="27">
        <v>380.54763009999999</v>
      </c>
      <c r="K94" s="38"/>
      <c r="L94" s="381"/>
      <c r="M94" s="268"/>
      <c r="N94" s="269"/>
      <c r="O94" s="269"/>
      <c r="P94" s="283"/>
      <c r="Q94" s="269"/>
      <c r="R94" s="269"/>
      <c r="S94" s="38"/>
      <c r="T94" s="38"/>
      <c r="U94" s="38"/>
      <c r="V94" s="38"/>
      <c r="W94" s="38"/>
      <c r="X94" s="38"/>
      <c r="Y94" s="38"/>
      <c r="Z94" s="38"/>
    </row>
    <row r="95" spans="1:26" s="300" customFormat="1" x14ac:dyDescent="0.25">
      <c r="A95" s="280">
        <f t="shared" si="7"/>
        <v>93</v>
      </c>
      <c r="B95" s="277"/>
      <c r="C95" s="52" t="str">
        <f t="shared" si="5"/>
        <v>6UCWRABAJO</v>
      </c>
      <c r="D95" s="52"/>
      <c r="E95" s="53">
        <f>+'CALCULO TARIFAS CC '!$U$45</f>
        <v>0.82386810577067515</v>
      </c>
      <c r="F95" s="54">
        <f t="shared" si="8"/>
        <v>200.7893</v>
      </c>
      <c r="G95" s="55">
        <f t="shared" si="9"/>
        <v>165.42</v>
      </c>
      <c r="H95" s="49" t="s">
        <v>276</v>
      </c>
      <c r="I95" s="27" t="s">
        <v>429</v>
      </c>
      <c r="J95" s="27">
        <v>200.78925860000001</v>
      </c>
      <c r="K95" s="38"/>
      <c r="L95" s="381"/>
      <c r="M95" s="268"/>
      <c r="N95" s="269"/>
      <c r="O95" s="269"/>
      <c r="P95" s="283"/>
      <c r="Q95" s="269"/>
      <c r="R95" s="269"/>
      <c r="S95" s="38"/>
      <c r="T95" s="38"/>
      <c r="U95" s="38"/>
      <c r="V95" s="38"/>
      <c r="W95" s="38"/>
      <c r="X95" s="38"/>
      <c r="Y95" s="38"/>
      <c r="Z95" s="38"/>
    </row>
    <row r="96" spans="1:26" s="300" customFormat="1" x14ac:dyDescent="0.25">
      <c r="A96" s="280">
        <f t="shared" si="7"/>
        <v>94</v>
      </c>
      <c r="B96" s="277"/>
      <c r="C96" s="52" t="str">
        <f t="shared" si="5"/>
        <v>6UCWSANFCO</v>
      </c>
      <c r="D96" s="52"/>
      <c r="E96" s="53">
        <f>+'CALCULO TARIFAS CC '!$U$45</f>
        <v>0.82386810577067515</v>
      </c>
      <c r="F96" s="54">
        <f t="shared" si="8"/>
        <v>151.2234</v>
      </c>
      <c r="G96" s="55">
        <f t="shared" si="9"/>
        <v>124.59</v>
      </c>
      <c r="H96" s="49" t="s">
        <v>276</v>
      </c>
      <c r="I96" s="27" t="s">
        <v>645</v>
      </c>
      <c r="J96" s="27">
        <v>151.22342800000001</v>
      </c>
      <c r="K96" s="38"/>
      <c r="L96" s="381"/>
      <c r="M96" s="268"/>
      <c r="N96" s="269"/>
      <c r="O96" s="269"/>
      <c r="P96" s="283"/>
      <c r="Q96" s="269"/>
      <c r="R96" s="269"/>
      <c r="S96" s="38"/>
      <c r="T96" s="38"/>
      <c r="U96" s="38"/>
      <c r="V96" s="38"/>
      <c r="W96" s="38"/>
      <c r="X96" s="38"/>
      <c r="Y96" s="38"/>
      <c r="Z96" s="38"/>
    </row>
    <row r="97" spans="1:26" s="300" customFormat="1" x14ac:dyDescent="0.25">
      <c r="A97" s="280">
        <f t="shared" si="7"/>
        <v>95</v>
      </c>
      <c r="B97" s="277"/>
      <c r="C97" s="52" t="str">
        <f t="shared" si="5"/>
        <v>6UCWSCLARA</v>
      </c>
      <c r="D97" s="52"/>
      <c r="E97" s="53">
        <f>+'CALCULO TARIFAS CC '!$U$45</f>
        <v>0.82386810577067515</v>
      </c>
      <c r="F97" s="54">
        <f t="shared" si="8"/>
        <v>204.30590000000001</v>
      </c>
      <c r="G97" s="55">
        <f t="shared" si="9"/>
        <v>168.32</v>
      </c>
      <c r="H97" s="49" t="s">
        <v>276</v>
      </c>
      <c r="I97" s="27" t="s">
        <v>405</v>
      </c>
      <c r="J97" s="27">
        <v>204.30593400000001</v>
      </c>
      <c r="K97" s="38"/>
      <c r="L97" s="381"/>
      <c r="M97" s="268"/>
      <c r="N97" s="269"/>
      <c r="O97" s="269"/>
      <c r="P97" s="283"/>
      <c r="Q97" s="269"/>
      <c r="R97" s="269"/>
      <c r="S97" s="38"/>
      <c r="T97" s="38"/>
      <c r="U97" s="38"/>
      <c r="V97" s="38"/>
      <c r="W97" s="38"/>
      <c r="X97" s="38"/>
      <c r="Y97" s="38"/>
      <c r="Z97" s="38"/>
    </row>
    <row r="98" spans="1:26" s="300" customFormat="1" x14ac:dyDescent="0.25">
      <c r="A98" s="280">
        <f t="shared" si="7"/>
        <v>96</v>
      </c>
      <c r="B98" s="277"/>
      <c r="C98" s="52" t="str">
        <f t="shared" si="5"/>
        <v>6UC_CONT</v>
      </c>
      <c r="D98" s="52"/>
      <c r="E98" s="53">
        <f>+'CALCULO TARIFAS CC '!$U$45</f>
        <v>0.82386810577067515</v>
      </c>
      <c r="F98" s="54">
        <f t="shared" si="8"/>
        <v>14.6159</v>
      </c>
      <c r="G98" s="55">
        <f t="shared" si="9"/>
        <v>12.04</v>
      </c>
      <c r="H98" s="49" t="s">
        <v>276</v>
      </c>
      <c r="I98" s="27" t="s">
        <v>371</v>
      </c>
      <c r="J98" s="27">
        <v>14.6158988</v>
      </c>
      <c r="K98" s="38"/>
      <c r="L98" s="381"/>
      <c r="M98" s="268"/>
      <c r="N98" s="269"/>
      <c r="O98" s="269"/>
      <c r="P98" s="283"/>
      <c r="Q98" s="269"/>
      <c r="R98" s="269"/>
      <c r="S98" s="38"/>
      <c r="T98" s="38"/>
      <c r="U98" s="38"/>
      <c r="V98" s="38"/>
      <c r="W98" s="38"/>
      <c r="X98" s="38"/>
      <c r="Y98" s="38"/>
      <c r="Z98" s="38"/>
    </row>
    <row r="99" spans="1:26" s="300" customFormat="1" x14ac:dyDescent="0.25">
      <c r="A99" s="280">
        <f t="shared" si="7"/>
        <v>97</v>
      </c>
      <c r="B99" s="277"/>
      <c r="C99" s="52" t="str">
        <f t="shared" si="5"/>
        <v>6UC_GUAY</v>
      </c>
      <c r="D99" s="52"/>
      <c r="E99" s="53">
        <f>+'CALCULO TARIFAS CC '!$U$45</f>
        <v>0.82386810577067515</v>
      </c>
      <c r="F99" s="54">
        <f t="shared" si="8"/>
        <v>30.208500000000001</v>
      </c>
      <c r="G99" s="55">
        <f t="shared" si="9"/>
        <v>24.89</v>
      </c>
      <c r="H99" s="49" t="s">
        <v>276</v>
      </c>
      <c r="I99" s="27" t="s">
        <v>372</v>
      </c>
      <c r="J99" s="27">
        <v>30.208473000000001</v>
      </c>
      <c r="K99" s="38"/>
      <c r="L99" s="381"/>
      <c r="M99" s="268"/>
      <c r="N99" s="269"/>
      <c r="O99" s="269"/>
      <c r="P99" s="283"/>
      <c r="Q99" s="269"/>
      <c r="R99" s="269"/>
      <c r="S99" s="38"/>
      <c r="T99" s="38"/>
      <c r="U99" s="38"/>
      <c r="V99" s="38"/>
      <c r="W99" s="38"/>
      <c r="X99" s="38"/>
      <c r="Y99" s="38"/>
      <c r="Z99" s="38"/>
    </row>
    <row r="100" spans="1:26" s="300" customFormat="1" x14ac:dyDescent="0.25">
      <c r="A100" s="280">
        <f t="shared" si="7"/>
        <v>98</v>
      </c>
      <c r="B100" s="277"/>
      <c r="C100" s="52" t="str">
        <f t="shared" si="5"/>
        <v>6UC_HPMA</v>
      </c>
      <c r="D100" s="52"/>
      <c r="E100" s="53">
        <f>+'CALCULO TARIFAS CC '!$U$45</f>
        <v>0.82386810577067515</v>
      </c>
      <c r="F100" s="54">
        <f t="shared" si="8"/>
        <v>52.929600000000001</v>
      </c>
      <c r="G100" s="55">
        <f t="shared" si="9"/>
        <v>43.61</v>
      </c>
      <c r="H100" s="49" t="s">
        <v>276</v>
      </c>
      <c r="I100" s="27" t="s">
        <v>373</v>
      </c>
      <c r="J100" s="27">
        <v>52.929606</v>
      </c>
      <c r="K100" s="38"/>
      <c r="L100" s="381"/>
      <c r="M100" s="268"/>
      <c r="N100" s="269"/>
      <c r="O100" s="269"/>
      <c r="P100" s="283"/>
      <c r="Q100" s="269"/>
      <c r="R100" s="269"/>
      <c r="S100" s="38"/>
      <c r="T100" s="38"/>
      <c r="U100" s="38"/>
      <c r="V100" s="38"/>
      <c r="W100" s="38"/>
      <c r="X100" s="38"/>
      <c r="Y100" s="38"/>
      <c r="Z100" s="38"/>
    </row>
    <row r="101" spans="1:26" s="300" customFormat="1" x14ac:dyDescent="0.25">
      <c r="A101" s="280">
        <f t="shared" si="7"/>
        <v>99</v>
      </c>
      <c r="B101" s="277"/>
      <c r="C101" s="52" t="str">
        <f t="shared" si="5"/>
        <v>6UC_SHERAT</v>
      </c>
      <c r="D101" s="52"/>
      <c r="E101" s="53">
        <f>+'CALCULO TARIFAS CC '!$U$45</f>
        <v>0.82386810577067515</v>
      </c>
      <c r="F101" s="54">
        <f t="shared" si="8"/>
        <v>66.441800000000001</v>
      </c>
      <c r="G101" s="55">
        <f t="shared" si="9"/>
        <v>54.74</v>
      </c>
      <c r="H101" s="49" t="s">
        <v>276</v>
      </c>
      <c r="I101" s="27" t="s">
        <v>413</v>
      </c>
      <c r="J101" s="27">
        <v>66.441775500000006</v>
      </c>
      <c r="K101" s="38"/>
      <c r="L101" s="381"/>
      <c r="M101" s="268"/>
      <c r="N101" s="269"/>
      <c r="O101" s="269"/>
      <c r="P101" s="283"/>
      <c r="Q101" s="269"/>
      <c r="R101" s="269"/>
      <c r="S101" s="38"/>
      <c r="T101" s="38"/>
      <c r="U101" s="38"/>
      <c r="V101" s="38"/>
      <c r="W101" s="38"/>
      <c r="X101" s="38"/>
      <c r="Y101" s="38"/>
      <c r="Z101" s="38"/>
    </row>
    <row r="102" spans="1:26" s="300" customFormat="1" x14ac:dyDescent="0.25">
      <c r="A102" s="280">
        <f t="shared" si="7"/>
        <v>100</v>
      </c>
      <c r="B102" s="277"/>
      <c r="C102" s="52" t="str">
        <f t="shared" si="5"/>
        <v>6UC_SOLLOY</v>
      </c>
      <c r="D102" s="52"/>
      <c r="E102" s="53">
        <f>+'CALCULO TARIFAS CC '!$U$45</f>
        <v>0.82386810577067515</v>
      </c>
      <c r="F102" s="54">
        <f t="shared" si="8"/>
        <v>24.955200000000001</v>
      </c>
      <c r="G102" s="55">
        <f t="shared" si="9"/>
        <v>20.56</v>
      </c>
      <c r="H102" s="49" t="s">
        <v>276</v>
      </c>
      <c r="I102" s="27" t="s">
        <v>374</v>
      </c>
      <c r="J102" s="27">
        <v>24.9552361</v>
      </c>
      <c r="K102" s="38"/>
      <c r="L102" s="381"/>
      <c r="M102" s="268"/>
      <c r="N102" s="269"/>
      <c r="O102" s="269"/>
      <c r="P102" s="283"/>
      <c r="Q102" s="269"/>
      <c r="R102" s="269"/>
      <c r="S102" s="38"/>
      <c r="T102" s="38"/>
      <c r="U102" s="38"/>
      <c r="V102" s="38"/>
      <c r="W102" s="38"/>
      <c r="X102" s="38"/>
      <c r="Y102" s="38"/>
      <c r="Z102" s="38"/>
    </row>
    <row r="103" spans="1:26" s="300" customFormat="1" x14ac:dyDescent="0.25">
      <c r="A103" s="280">
        <f t="shared" si="7"/>
        <v>101</v>
      </c>
      <c r="B103" s="277"/>
      <c r="C103" s="52" t="str">
        <f t="shared" si="5"/>
        <v>6GCELSIAALT</v>
      </c>
      <c r="D103" s="52"/>
      <c r="E103" s="53">
        <f>+'CALCULO TARIFAS CC '!$U$45</f>
        <v>0.82386810577067515</v>
      </c>
      <c r="F103" s="54">
        <f t="shared" si="8"/>
        <v>29.128399999999999</v>
      </c>
      <c r="G103" s="55">
        <f t="shared" si="9"/>
        <v>24</v>
      </c>
      <c r="H103" s="49" t="s">
        <v>276</v>
      </c>
      <c r="I103" s="27" t="s">
        <v>27</v>
      </c>
      <c r="J103" s="27">
        <v>29.1284144</v>
      </c>
      <c r="K103" s="38"/>
      <c r="L103" s="381"/>
      <c r="M103" s="268"/>
      <c r="N103" s="269"/>
      <c r="O103" s="269"/>
      <c r="P103" s="283"/>
      <c r="Q103" s="269"/>
      <c r="R103" s="269"/>
      <c r="S103" s="38"/>
      <c r="T103" s="38"/>
      <c r="U103" s="38"/>
      <c r="V103" s="38"/>
      <c r="W103" s="38"/>
      <c r="X103" s="38"/>
      <c r="Y103" s="38"/>
      <c r="Z103" s="38"/>
    </row>
    <row r="104" spans="1:26" s="300" customFormat="1" x14ac:dyDescent="0.25">
      <c r="A104" s="280">
        <f t="shared" si="7"/>
        <v>102</v>
      </c>
      <c r="B104" s="277"/>
      <c r="C104" s="52" t="str">
        <f t="shared" si="5"/>
        <v>6GCELSIABLM</v>
      </c>
      <c r="D104" s="52"/>
      <c r="E104" s="53">
        <f>+'CALCULO TARIFAS CC '!$U$45</f>
        <v>0.82386810577067515</v>
      </c>
      <c r="F104" s="54">
        <f t="shared" si="8"/>
        <v>1273.4341999999999</v>
      </c>
      <c r="G104" s="55">
        <f t="shared" si="9"/>
        <v>1049.1400000000001</v>
      </c>
      <c r="H104" s="49" t="s">
        <v>276</v>
      </c>
      <c r="I104" s="27" t="s">
        <v>797</v>
      </c>
      <c r="J104" s="27">
        <v>1273.4341781000001</v>
      </c>
      <c r="K104" s="38"/>
      <c r="L104" s="381"/>
      <c r="M104" s="268"/>
      <c r="N104" s="269"/>
      <c r="O104" s="269"/>
      <c r="P104" s="283"/>
      <c r="Q104" s="269"/>
      <c r="R104" s="269"/>
      <c r="S104" s="38"/>
      <c r="T104" s="38"/>
      <c r="U104" s="38"/>
      <c r="V104" s="38"/>
      <c r="W104" s="38"/>
      <c r="X104" s="38"/>
      <c r="Y104" s="38"/>
      <c r="Z104" s="38"/>
    </row>
    <row r="105" spans="1:26" s="300" customFormat="1" x14ac:dyDescent="0.25">
      <c r="A105" s="280">
        <f t="shared" si="7"/>
        <v>103</v>
      </c>
      <c r="B105" s="277"/>
      <c r="C105" s="52" t="str">
        <f t="shared" si="5"/>
        <v>6GCELSIABON</v>
      </c>
      <c r="D105" s="52"/>
      <c r="E105" s="53">
        <f>+'CALCULO TARIFAS CC '!$U$45</f>
        <v>0.82386810577067515</v>
      </c>
      <c r="F105" s="54">
        <f t="shared" si="8"/>
        <v>13.2661</v>
      </c>
      <c r="G105" s="55">
        <f t="shared" si="9"/>
        <v>10.93</v>
      </c>
      <c r="H105" s="49" t="s">
        <v>276</v>
      </c>
      <c r="I105" s="27" t="s">
        <v>393</v>
      </c>
      <c r="J105" s="27">
        <v>13.2660863</v>
      </c>
      <c r="K105" s="38"/>
      <c r="L105" s="381"/>
      <c r="M105" s="268"/>
      <c r="N105" s="269"/>
      <c r="O105" s="269"/>
      <c r="P105" s="283"/>
      <c r="Q105" s="269"/>
      <c r="R105" s="269"/>
      <c r="S105" s="38"/>
      <c r="T105" s="38"/>
      <c r="U105" s="38"/>
      <c r="V105" s="38"/>
      <c r="W105" s="38"/>
      <c r="X105" s="38"/>
      <c r="Y105" s="38"/>
      <c r="Z105" s="38"/>
    </row>
    <row r="106" spans="1:26" s="300" customFormat="1" x14ac:dyDescent="0.25">
      <c r="A106" s="280">
        <f t="shared" si="7"/>
        <v>104</v>
      </c>
      <c r="B106" s="277"/>
      <c r="C106" s="52" t="str">
        <f t="shared" si="5"/>
        <v>6UDAVIVIENDA</v>
      </c>
      <c r="D106" s="52"/>
      <c r="E106" s="53">
        <f>+'CALCULO TARIFAS CC '!$U$45</f>
        <v>0.82386810577067515</v>
      </c>
      <c r="F106" s="54">
        <f t="shared" si="8"/>
        <v>61.400199999999998</v>
      </c>
      <c r="G106" s="55">
        <f t="shared" si="9"/>
        <v>50.59</v>
      </c>
      <c r="H106" s="49" t="s">
        <v>276</v>
      </c>
      <c r="I106" s="27" t="s">
        <v>798</v>
      </c>
      <c r="J106" s="27">
        <v>61.400217099999999</v>
      </c>
      <c r="K106" s="38"/>
      <c r="L106" s="381"/>
      <c r="M106" s="268"/>
      <c r="N106" s="269"/>
      <c r="O106" s="269"/>
      <c r="P106" s="283"/>
      <c r="Q106" s="269"/>
      <c r="R106" s="269"/>
      <c r="S106" s="38"/>
      <c r="T106" s="38"/>
      <c r="U106" s="38"/>
      <c r="V106" s="38"/>
      <c r="W106" s="38"/>
      <c r="X106" s="38"/>
      <c r="Y106" s="38"/>
      <c r="Z106" s="38"/>
    </row>
    <row r="107" spans="1:26" s="300" customFormat="1" x14ac:dyDescent="0.25">
      <c r="A107" s="280">
        <f t="shared" si="7"/>
        <v>105</v>
      </c>
      <c r="B107" s="277"/>
      <c r="C107" s="52" t="str">
        <f t="shared" si="5"/>
        <v>6UDECAMERON</v>
      </c>
      <c r="D107" s="52"/>
      <c r="E107" s="53">
        <f>+'CALCULO TARIFAS CC '!$U$45</f>
        <v>0.82386810577067515</v>
      </c>
      <c r="F107" s="54">
        <f t="shared" si="8"/>
        <v>263.8569</v>
      </c>
      <c r="G107" s="55">
        <f t="shared" si="9"/>
        <v>217.38</v>
      </c>
      <c r="H107" s="49" t="s">
        <v>276</v>
      </c>
      <c r="I107" s="27" t="s">
        <v>613</v>
      </c>
      <c r="J107" s="27">
        <v>263.85691630000002</v>
      </c>
      <c r="K107" s="38"/>
      <c r="L107" s="381"/>
      <c r="M107" s="268"/>
      <c r="N107" s="269"/>
      <c r="O107" s="269"/>
      <c r="P107" s="283"/>
      <c r="Q107" s="269"/>
      <c r="R107" s="269"/>
      <c r="S107" s="38"/>
      <c r="T107" s="38"/>
      <c r="U107" s="38"/>
      <c r="V107" s="38"/>
      <c r="W107" s="38"/>
      <c r="X107" s="38"/>
      <c r="Y107" s="38"/>
      <c r="Z107" s="38"/>
    </row>
    <row r="108" spans="1:26" s="300" customFormat="1" x14ac:dyDescent="0.25">
      <c r="A108" s="280">
        <f t="shared" si="7"/>
        <v>106</v>
      </c>
      <c r="B108" s="277"/>
      <c r="C108" s="52" t="str">
        <f t="shared" si="5"/>
        <v>6UDELMONTE</v>
      </c>
      <c r="D108" s="52"/>
      <c r="E108" s="53">
        <f>+'CALCULO TARIFAS CC '!$U$45</f>
        <v>0.82386810577067515</v>
      </c>
      <c r="F108" s="54">
        <f t="shared" si="8"/>
        <v>154.59950000000001</v>
      </c>
      <c r="G108" s="55">
        <f t="shared" si="9"/>
        <v>127.37</v>
      </c>
      <c r="H108" s="49" t="s">
        <v>276</v>
      </c>
      <c r="I108" s="27" t="s">
        <v>829</v>
      </c>
      <c r="J108" s="27">
        <v>154.59947769999999</v>
      </c>
      <c r="K108" s="38"/>
      <c r="L108" s="381"/>
      <c r="M108" s="268"/>
      <c r="N108" s="269"/>
      <c r="O108" s="269"/>
      <c r="P108" s="283"/>
      <c r="Q108" s="269"/>
      <c r="R108" s="269"/>
      <c r="S108" s="38"/>
      <c r="T108" s="38"/>
      <c r="U108" s="38"/>
      <c r="V108" s="38"/>
      <c r="W108" s="38"/>
      <c r="X108" s="38"/>
      <c r="Y108" s="38"/>
      <c r="Z108" s="38"/>
    </row>
    <row r="109" spans="1:26" s="300" customFormat="1" x14ac:dyDescent="0.25">
      <c r="A109" s="280">
        <f t="shared" si="7"/>
        <v>107</v>
      </c>
      <c r="B109" s="277"/>
      <c r="C109" s="52" t="str">
        <f t="shared" si="5"/>
        <v>6UDELYRBVTA</v>
      </c>
      <c r="D109" s="52"/>
      <c r="E109" s="53">
        <f>+'CALCULO TARIFAS CC '!$U$45</f>
        <v>0.82386810577067515</v>
      </c>
      <c r="F109" s="54">
        <f t="shared" si="8"/>
        <v>46.942399999999999</v>
      </c>
      <c r="G109" s="55">
        <f t="shared" si="9"/>
        <v>38.67</v>
      </c>
      <c r="H109" s="49" t="s">
        <v>276</v>
      </c>
      <c r="I109" s="27" t="s">
        <v>449</v>
      </c>
      <c r="J109" s="27">
        <v>46.942371700000002</v>
      </c>
      <c r="K109" s="38"/>
      <c r="L109" s="381"/>
      <c r="M109" s="268"/>
      <c r="N109" s="269"/>
      <c r="O109" s="269"/>
      <c r="P109" s="283"/>
      <c r="Q109" s="269"/>
      <c r="R109" s="269"/>
      <c r="S109" s="38"/>
      <c r="T109" s="38"/>
      <c r="U109" s="38"/>
      <c r="V109" s="38"/>
      <c r="W109" s="38"/>
      <c r="X109" s="38"/>
      <c r="Y109" s="38"/>
      <c r="Z109" s="38"/>
    </row>
    <row r="110" spans="1:26" s="300" customFormat="1" x14ac:dyDescent="0.25">
      <c r="A110" s="280">
        <f t="shared" si="7"/>
        <v>108</v>
      </c>
      <c r="B110" s="277"/>
      <c r="C110" s="52" t="str">
        <f t="shared" si="5"/>
        <v>6GDESHIDCORP</v>
      </c>
      <c r="D110" s="52"/>
      <c r="E110" s="53">
        <f>+'CALCULO TARIFAS CC '!$U$45</f>
        <v>0.82386810577067515</v>
      </c>
      <c r="F110" s="54">
        <f t="shared" si="8"/>
        <v>16.417000000000002</v>
      </c>
      <c r="G110" s="55">
        <f t="shared" si="9"/>
        <v>13.53</v>
      </c>
      <c r="H110" s="49" t="s">
        <v>276</v>
      </c>
      <c r="I110" s="27" t="s">
        <v>503</v>
      </c>
      <c r="J110" s="27">
        <v>16.417000000000002</v>
      </c>
      <c r="K110" s="38"/>
      <c r="L110" s="381"/>
      <c r="M110" s="268"/>
      <c r="N110" s="269"/>
      <c r="O110" s="269"/>
      <c r="P110" s="283"/>
      <c r="Q110" s="269"/>
      <c r="R110" s="269"/>
      <c r="S110" s="38"/>
      <c r="T110" s="38"/>
      <c r="U110" s="38"/>
      <c r="V110" s="38"/>
      <c r="W110" s="38"/>
      <c r="X110" s="38"/>
      <c r="Y110" s="38"/>
      <c r="Z110" s="38"/>
    </row>
    <row r="111" spans="1:26" s="300" customFormat="1" x14ac:dyDescent="0.25">
      <c r="A111" s="280">
        <f t="shared" si="7"/>
        <v>109</v>
      </c>
      <c r="B111" s="277"/>
      <c r="C111" s="52" t="str">
        <f t="shared" si="5"/>
        <v>6UDICARI03</v>
      </c>
      <c r="D111" s="52"/>
      <c r="E111" s="53">
        <f>+'CALCULO TARIFAS CC '!$U$45</f>
        <v>0.82386810577067515</v>
      </c>
      <c r="F111" s="54">
        <f t="shared" si="8"/>
        <v>188.57589999999999</v>
      </c>
      <c r="G111" s="55">
        <f t="shared" si="9"/>
        <v>155.36000000000001</v>
      </c>
      <c r="H111" s="49" t="s">
        <v>276</v>
      </c>
      <c r="I111" s="27" t="s">
        <v>646</v>
      </c>
      <c r="J111" s="27">
        <v>188.5758677</v>
      </c>
      <c r="K111" s="38"/>
      <c r="L111" s="381"/>
      <c r="M111" s="268"/>
      <c r="N111" s="269"/>
      <c r="O111" s="269"/>
      <c r="P111" s="283"/>
      <c r="Q111" s="269"/>
      <c r="R111" s="269"/>
      <c r="S111" s="38"/>
      <c r="T111" s="38"/>
      <c r="U111" s="38"/>
      <c r="V111" s="38"/>
      <c r="W111" s="38"/>
      <c r="X111" s="38"/>
      <c r="Y111" s="38"/>
      <c r="Z111" s="38"/>
    </row>
    <row r="112" spans="1:26" s="300" customFormat="1" x14ac:dyDescent="0.25">
      <c r="A112" s="280">
        <f t="shared" si="7"/>
        <v>110</v>
      </c>
      <c r="B112" s="277"/>
      <c r="C112" s="52" t="str">
        <f t="shared" si="5"/>
        <v>6UDIGIPMA</v>
      </c>
      <c r="D112" s="52"/>
      <c r="E112" s="53">
        <f>+'CALCULO TARIFAS CC '!$U$45</f>
        <v>0.82386810577067515</v>
      </c>
      <c r="F112" s="54">
        <f t="shared" si="8"/>
        <v>225.6549</v>
      </c>
      <c r="G112" s="55">
        <f t="shared" si="9"/>
        <v>185.91</v>
      </c>
      <c r="H112" s="49" t="s">
        <v>276</v>
      </c>
      <c r="I112" s="27" t="s">
        <v>476</v>
      </c>
      <c r="J112" s="27">
        <v>225.65493420000001</v>
      </c>
      <c r="K112" s="38"/>
      <c r="L112" s="381"/>
      <c r="M112" s="268"/>
      <c r="N112" s="269"/>
      <c r="O112" s="269"/>
      <c r="P112" s="283"/>
      <c r="Q112" s="269"/>
      <c r="R112" s="269"/>
      <c r="S112" s="38"/>
      <c r="T112" s="38"/>
      <c r="U112" s="38"/>
      <c r="V112" s="38"/>
      <c r="W112" s="38"/>
      <c r="X112" s="38"/>
      <c r="Y112" s="38"/>
      <c r="Z112" s="38"/>
    </row>
    <row r="113" spans="1:26" s="300" customFormat="1" x14ac:dyDescent="0.25">
      <c r="A113" s="280">
        <f t="shared" si="7"/>
        <v>111</v>
      </c>
      <c r="B113" s="277"/>
      <c r="C113" s="52" t="str">
        <f t="shared" si="5"/>
        <v>6UDILIDO</v>
      </c>
      <c r="D113" s="52"/>
      <c r="E113" s="53">
        <f>+'CALCULO TARIFAS CC '!$U$45</f>
        <v>0.82386810577067515</v>
      </c>
      <c r="F113" s="54">
        <f t="shared" si="8"/>
        <v>64.866600000000005</v>
      </c>
      <c r="G113" s="55">
        <f t="shared" si="9"/>
        <v>53.44</v>
      </c>
      <c r="H113" s="49" t="s">
        <v>276</v>
      </c>
      <c r="I113" s="27" t="s">
        <v>767</v>
      </c>
      <c r="J113" s="27">
        <v>64.866643999999994</v>
      </c>
      <c r="K113" s="38"/>
      <c r="L113" s="381"/>
      <c r="M113" s="268"/>
      <c r="N113" s="269"/>
      <c r="O113" s="269"/>
      <c r="P113" s="283"/>
      <c r="Q113" s="269"/>
      <c r="R113" s="269"/>
      <c r="S113" s="38"/>
      <c r="T113" s="38"/>
      <c r="U113" s="38"/>
      <c r="V113" s="38"/>
      <c r="W113" s="38"/>
      <c r="X113" s="38"/>
      <c r="Y113" s="38"/>
      <c r="Z113" s="38"/>
    </row>
    <row r="114" spans="1:26" s="300" customFormat="1" x14ac:dyDescent="0.25">
      <c r="A114" s="280">
        <f t="shared" si="7"/>
        <v>112</v>
      </c>
      <c r="B114" s="277"/>
      <c r="C114" s="52" t="str">
        <f t="shared" si="5"/>
        <v>6UDOIT12OC</v>
      </c>
      <c r="D114" s="52"/>
      <c r="E114" s="53">
        <f>+'CALCULO TARIFAS CC '!$U$45</f>
        <v>0.82386810577067515</v>
      </c>
      <c r="F114" s="54">
        <f t="shared" si="8"/>
        <v>5.5975999999999999</v>
      </c>
      <c r="G114" s="55">
        <f t="shared" si="9"/>
        <v>4.6100000000000003</v>
      </c>
      <c r="H114" s="49" t="s">
        <v>276</v>
      </c>
      <c r="I114" s="27" t="s">
        <v>534</v>
      </c>
      <c r="J114" s="27">
        <v>5.5976483999999997</v>
      </c>
      <c r="K114" s="38"/>
      <c r="L114" s="381"/>
      <c r="M114" s="268"/>
      <c r="N114" s="269"/>
      <c r="O114" s="269"/>
      <c r="P114" s="283"/>
      <c r="Q114" s="269"/>
      <c r="R114" s="269"/>
      <c r="S114" s="38"/>
      <c r="T114" s="38"/>
      <c r="U114" s="38"/>
      <c r="V114" s="38"/>
      <c r="W114" s="38"/>
      <c r="X114" s="38"/>
      <c r="Y114" s="38"/>
      <c r="Z114" s="38"/>
    </row>
    <row r="115" spans="1:26" s="300" customFormat="1" x14ac:dyDescent="0.25">
      <c r="A115" s="280">
        <f t="shared" si="7"/>
        <v>113</v>
      </c>
      <c r="B115" s="277"/>
      <c r="C115" s="52" t="str">
        <f t="shared" si="5"/>
        <v>6UDOITALB</v>
      </c>
      <c r="D115" s="52"/>
      <c r="E115" s="53">
        <f>+'CALCULO TARIFAS CC '!$U$45</f>
        <v>0.82386810577067515</v>
      </c>
      <c r="F115" s="54">
        <f t="shared" si="8"/>
        <v>1.9520999999999999</v>
      </c>
      <c r="G115" s="55">
        <f t="shared" si="9"/>
        <v>1.61</v>
      </c>
      <c r="H115" s="49" t="s">
        <v>276</v>
      </c>
      <c r="I115" s="27" t="s">
        <v>504</v>
      </c>
      <c r="J115" s="27">
        <v>1.9521036</v>
      </c>
      <c r="K115" s="38"/>
      <c r="L115" s="381"/>
      <c r="M115" s="268"/>
      <c r="N115" s="269"/>
      <c r="O115" s="269"/>
      <c r="P115" s="283"/>
      <c r="Q115" s="269"/>
      <c r="R115" s="269"/>
      <c r="S115" s="38"/>
      <c r="T115" s="38"/>
      <c r="U115" s="38"/>
      <c r="V115" s="38"/>
      <c r="W115" s="38"/>
      <c r="X115" s="38"/>
      <c r="Y115" s="38"/>
      <c r="Z115" s="38"/>
    </row>
    <row r="116" spans="1:26" s="300" customFormat="1" x14ac:dyDescent="0.25">
      <c r="A116" s="280">
        <f t="shared" si="7"/>
        <v>114</v>
      </c>
      <c r="B116" s="277"/>
      <c r="C116" s="52" t="str">
        <f t="shared" si="5"/>
        <v>6UDOITBGOL</v>
      </c>
      <c r="D116" s="52"/>
      <c r="E116" s="53">
        <f>+'CALCULO TARIFAS CC '!$U$45</f>
        <v>0.82386810577067515</v>
      </c>
      <c r="F116" s="54">
        <f t="shared" si="8"/>
        <v>13.3269</v>
      </c>
      <c r="G116" s="55">
        <f t="shared" si="9"/>
        <v>10.98</v>
      </c>
      <c r="H116" s="49" t="s">
        <v>276</v>
      </c>
      <c r="I116" s="27" t="s">
        <v>535</v>
      </c>
      <c r="J116" s="27">
        <v>13.3269485</v>
      </c>
      <c r="K116" s="38"/>
      <c r="L116" s="381"/>
      <c r="M116" s="268"/>
      <c r="N116" s="269"/>
      <c r="O116" s="269"/>
      <c r="P116" s="283"/>
      <c r="Q116" s="269"/>
      <c r="R116" s="269"/>
      <c r="S116" s="38"/>
      <c r="T116" s="38"/>
      <c r="U116" s="38"/>
      <c r="V116" s="38"/>
      <c r="W116" s="38"/>
      <c r="X116" s="38"/>
      <c r="Y116" s="38"/>
      <c r="Z116" s="38"/>
    </row>
    <row r="117" spans="1:26" s="300" customFormat="1" x14ac:dyDescent="0.25">
      <c r="A117" s="280">
        <f t="shared" si="7"/>
        <v>115</v>
      </c>
      <c r="B117" s="277"/>
      <c r="C117" s="52" t="str">
        <f t="shared" si="5"/>
        <v>6UDOITCENT</v>
      </c>
      <c r="D117" s="52"/>
      <c r="E117" s="53">
        <f>+'CALCULO TARIFAS CC '!$U$45</f>
        <v>0.82386810577067515</v>
      </c>
      <c r="F117" s="54">
        <f t="shared" si="8"/>
        <v>3.0017</v>
      </c>
      <c r="G117" s="55">
        <f t="shared" si="9"/>
        <v>2.4700000000000002</v>
      </c>
      <c r="H117" s="49" t="s">
        <v>276</v>
      </c>
      <c r="I117" s="27" t="s">
        <v>536</v>
      </c>
      <c r="J117" s="27">
        <v>3.0016957999999998</v>
      </c>
      <c r="K117" s="38"/>
      <c r="L117" s="381"/>
      <c r="M117" s="268"/>
      <c r="N117" s="269"/>
      <c r="O117" s="269"/>
      <c r="P117" s="283"/>
      <c r="Q117" s="269"/>
      <c r="R117" s="269"/>
      <c r="S117" s="38"/>
      <c r="T117" s="38"/>
      <c r="U117" s="38"/>
      <c r="V117" s="38"/>
      <c r="W117" s="38"/>
      <c r="X117" s="38"/>
      <c r="Y117" s="38"/>
      <c r="Z117" s="38"/>
    </row>
    <row r="118" spans="1:26" s="300" customFormat="1" x14ac:dyDescent="0.25">
      <c r="A118" s="280">
        <f t="shared" si="7"/>
        <v>116</v>
      </c>
      <c r="B118" s="277"/>
      <c r="C118" s="52" t="str">
        <f t="shared" si="5"/>
        <v>6UDOITCHI</v>
      </c>
      <c r="D118" s="52"/>
      <c r="E118" s="53">
        <f>+'CALCULO TARIFAS CC '!$U$45</f>
        <v>0.82386810577067515</v>
      </c>
      <c r="F118" s="54">
        <f t="shared" si="8"/>
        <v>3.3119999999999998</v>
      </c>
      <c r="G118" s="55">
        <f t="shared" si="9"/>
        <v>2.73</v>
      </c>
      <c r="H118" s="49" t="s">
        <v>276</v>
      </c>
      <c r="I118" s="27" t="s">
        <v>505</v>
      </c>
      <c r="J118" s="27">
        <v>3.3119885</v>
      </c>
      <c r="K118" s="38"/>
      <c r="L118" s="381"/>
      <c r="M118" s="268"/>
      <c r="N118" s="269"/>
      <c r="O118" s="269"/>
      <c r="P118" s="283"/>
      <c r="Q118" s="269"/>
      <c r="R118" s="269"/>
      <c r="S118" s="38"/>
      <c r="T118" s="38"/>
      <c r="U118" s="38"/>
      <c r="V118" s="38"/>
      <c r="W118" s="38"/>
      <c r="X118" s="38"/>
      <c r="Y118" s="38"/>
      <c r="Z118" s="38"/>
    </row>
    <row r="119" spans="1:26" s="300" customFormat="1" x14ac:dyDescent="0.25">
      <c r="A119" s="280">
        <f t="shared" si="7"/>
        <v>117</v>
      </c>
      <c r="B119" s="277"/>
      <c r="C119" s="52" t="str">
        <f t="shared" si="5"/>
        <v>6UDOITDAV80</v>
      </c>
      <c r="D119" s="52"/>
      <c r="E119" s="53">
        <f>+'CALCULO TARIFAS CC '!$U$45</f>
        <v>0.82386810577067515</v>
      </c>
      <c r="F119" s="54">
        <f t="shared" si="8"/>
        <v>3.2233000000000001</v>
      </c>
      <c r="G119" s="55">
        <f t="shared" si="9"/>
        <v>2.66</v>
      </c>
      <c r="H119" s="49" t="s">
        <v>276</v>
      </c>
      <c r="I119" s="27" t="s">
        <v>537</v>
      </c>
      <c r="J119" s="27">
        <v>3.223265</v>
      </c>
      <c r="K119" s="38"/>
      <c r="L119" s="381"/>
      <c r="M119" s="268"/>
      <c r="N119" s="269"/>
      <c r="O119" s="269"/>
      <c r="P119" s="283"/>
      <c r="Q119" s="269"/>
      <c r="R119" s="269"/>
      <c r="S119" s="38"/>
      <c r="T119" s="38"/>
      <c r="U119" s="38"/>
      <c r="V119" s="38"/>
      <c r="W119" s="38"/>
      <c r="X119" s="38"/>
      <c r="Y119" s="38"/>
      <c r="Z119" s="38"/>
    </row>
    <row r="120" spans="1:26" s="300" customFormat="1" x14ac:dyDescent="0.25">
      <c r="A120" s="280">
        <f t="shared" si="7"/>
        <v>118</v>
      </c>
      <c r="B120" s="277"/>
      <c r="C120" s="52" t="str">
        <f t="shared" si="5"/>
        <v>6UDOITDOR</v>
      </c>
      <c r="D120" s="52"/>
      <c r="E120" s="53">
        <f>+'CALCULO TARIFAS CC '!$U$45</f>
        <v>0.82386810577067515</v>
      </c>
      <c r="F120" s="54">
        <f t="shared" si="8"/>
        <v>19.3352</v>
      </c>
      <c r="G120" s="55">
        <f t="shared" si="9"/>
        <v>15.93</v>
      </c>
      <c r="H120" s="49" t="s">
        <v>276</v>
      </c>
      <c r="I120" s="27" t="s">
        <v>465</v>
      </c>
      <c r="J120" s="27">
        <v>19.3352027</v>
      </c>
      <c r="K120" s="38"/>
      <c r="L120" s="381"/>
      <c r="M120" s="268"/>
      <c r="N120" s="269"/>
      <c r="O120" s="269"/>
      <c r="P120" s="283"/>
      <c r="Q120" s="269"/>
      <c r="R120" s="269"/>
      <c r="S120" s="38"/>
      <c r="T120" s="38"/>
      <c r="U120" s="38"/>
      <c r="V120" s="38"/>
      <c r="W120" s="38"/>
      <c r="X120" s="38"/>
      <c r="Y120" s="38"/>
      <c r="Z120" s="38"/>
    </row>
    <row r="121" spans="1:26" s="300" customFormat="1" x14ac:dyDescent="0.25">
      <c r="A121" s="280">
        <f t="shared" si="7"/>
        <v>119</v>
      </c>
      <c r="B121" s="277"/>
      <c r="C121" s="52" t="str">
        <f t="shared" si="5"/>
        <v>6UDOITLDON</v>
      </c>
      <c r="D121" s="52"/>
      <c r="E121" s="53">
        <f>+'CALCULO TARIFAS CC '!$U$45</f>
        <v>0.82386810577067515</v>
      </c>
      <c r="F121" s="54">
        <f t="shared" si="8"/>
        <v>3.0131000000000001</v>
      </c>
      <c r="G121" s="55">
        <f t="shared" si="9"/>
        <v>2.48</v>
      </c>
      <c r="H121" s="49" t="s">
        <v>276</v>
      </c>
      <c r="I121" s="27" t="s">
        <v>538</v>
      </c>
      <c r="J121" s="27">
        <v>3.0131375</v>
      </c>
      <c r="K121" s="38"/>
      <c r="L121" s="381"/>
      <c r="M121" s="268"/>
      <c r="N121" s="269"/>
      <c r="O121" s="269"/>
      <c r="P121" s="283"/>
      <c r="Q121" s="269"/>
      <c r="R121" s="269"/>
      <c r="S121" s="38"/>
      <c r="T121" s="38"/>
      <c r="U121" s="38"/>
      <c r="V121" s="38"/>
      <c r="W121" s="38"/>
      <c r="X121" s="38"/>
      <c r="Y121" s="38"/>
      <c r="Z121" s="38"/>
    </row>
    <row r="122" spans="1:26" s="300" customFormat="1" x14ac:dyDescent="0.25">
      <c r="A122" s="280">
        <f t="shared" si="7"/>
        <v>120</v>
      </c>
      <c r="B122" s="277"/>
      <c r="C122" s="52" t="str">
        <f t="shared" si="5"/>
        <v>6UDOITLPUE</v>
      </c>
      <c r="D122" s="52"/>
      <c r="E122" s="53">
        <f>+'CALCULO TARIFAS CC '!$U$45</f>
        <v>0.82386810577067515</v>
      </c>
      <c r="F122" s="54">
        <f t="shared" si="8"/>
        <v>20.4801</v>
      </c>
      <c r="G122" s="55">
        <f t="shared" si="9"/>
        <v>16.87</v>
      </c>
      <c r="H122" s="49" t="s">
        <v>276</v>
      </c>
      <c r="I122" s="27" t="s">
        <v>539</v>
      </c>
      <c r="J122" s="27">
        <v>20.480080000000001</v>
      </c>
      <c r="K122" s="38"/>
      <c r="L122" s="381"/>
      <c r="M122" s="268"/>
      <c r="N122" s="269"/>
      <c r="O122" s="269"/>
      <c r="P122" s="283"/>
      <c r="Q122" s="269"/>
      <c r="R122" s="269"/>
      <c r="S122" s="38"/>
      <c r="T122" s="38"/>
      <c r="U122" s="38"/>
      <c r="V122" s="38"/>
      <c r="W122" s="38"/>
      <c r="X122" s="38"/>
      <c r="Y122" s="38"/>
      <c r="Z122" s="38"/>
    </row>
    <row r="123" spans="1:26" s="300" customFormat="1" x14ac:dyDescent="0.25">
      <c r="A123" s="280">
        <f t="shared" si="7"/>
        <v>121</v>
      </c>
      <c r="B123" s="277"/>
      <c r="C123" s="52" t="str">
        <f t="shared" si="5"/>
        <v>6UDOITTOC</v>
      </c>
      <c r="D123" s="52"/>
      <c r="E123" s="53">
        <f>+'CALCULO TARIFAS CC '!$U$45</f>
        <v>0.82386810577067515</v>
      </c>
      <c r="F123" s="54">
        <f t="shared" si="8"/>
        <v>3.2864</v>
      </c>
      <c r="G123" s="55">
        <f t="shared" si="9"/>
        <v>2.71</v>
      </c>
      <c r="H123" s="49" t="s">
        <v>276</v>
      </c>
      <c r="I123" s="27" t="s">
        <v>540</v>
      </c>
      <c r="J123" s="27">
        <v>3.2863856</v>
      </c>
      <c r="K123" s="38"/>
      <c r="L123" s="381"/>
      <c r="M123" s="268"/>
      <c r="N123" s="269"/>
      <c r="O123" s="269"/>
      <c r="P123" s="283"/>
      <c r="Q123" s="269"/>
      <c r="R123" s="269"/>
      <c r="S123" s="38"/>
      <c r="T123" s="38"/>
      <c r="U123" s="38"/>
      <c r="V123" s="38"/>
      <c r="W123" s="38"/>
      <c r="X123" s="38"/>
      <c r="Y123" s="38"/>
      <c r="Z123" s="38"/>
    </row>
    <row r="124" spans="1:26" s="300" customFormat="1" x14ac:dyDescent="0.25">
      <c r="A124" s="280">
        <f t="shared" si="7"/>
        <v>122</v>
      </c>
      <c r="B124" s="277"/>
      <c r="C124" s="52" t="str">
        <f t="shared" si="5"/>
        <v>6UDOITVZAI</v>
      </c>
      <c r="D124" s="52"/>
      <c r="E124" s="53">
        <f>+'CALCULO TARIFAS CC '!$U$45</f>
        <v>0.82386810577067515</v>
      </c>
      <c r="F124" s="54">
        <f t="shared" si="8"/>
        <v>8.8461999999999996</v>
      </c>
      <c r="G124" s="55">
        <f t="shared" si="9"/>
        <v>7.29</v>
      </c>
      <c r="H124" s="49" t="s">
        <v>276</v>
      </c>
      <c r="I124" s="27" t="s">
        <v>541</v>
      </c>
      <c r="J124" s="27">
        <v>8.8462285000000005</v>
      </c>
      <c r="K124" s="38"/>
      <c r="L124" s="381"/>
      <c r="M124" s="268"/>
      <c r="N124" s="269"/>
      <c r="O124" s="269"/>
      <c r="P124" s="283"/>
      <c r="Q124" s="269"/>
      <c r="R124" s="269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25">
      <c r="A125" s="280">
        <f t="shared" si="7"/>
        <v>123</v>
      </c>
      <c r="B125" s="277"/>
      <c r="C125" s="52" t="str">
        <f t="shared" si="5"/>
        <v>6UDOITWES</v>
      </c>
      <c r="D125" s="52"/>
      <c r="E125" s="53">
        <f>+'CALCULO TARIFAS CC '!$U$45</f>
        <v>0.82386810577067515</v>
      </c>
      <c r="F125" s="54">
        <f t="shared" si="6"/>
        <v>1.7976000000000001</v>
      </c>
      <c r="G125" s="55">
        <f t="shared" si="2"/>
        <v>1.48</v>
      </c>
      <c r="H125" s="49" t="s">
        <v>276</v>
      </c>
      <c r="I125" s="27" t="s">
        <v>506</v>
      </c>
      <c r="J125" s="27">
        <v>1.7976246</v>
      </c>
      <c r="K125" s="38"/>
      <c r="L125" s="381"/>
      <c r="M125" s="268"/>
      <c r="N125" s="269"/>
      <c r="O125" s="269"/>
      <c r="P125" s="283"/>
      <c r="Q125" s="269"/>
      <c r="R125" s="269"/>
      <c r="S125" s="38"/>
      <c r="T125" s="38"/>
      <c r="U125" s="38"/>
      <c r="V125" s="38"/>
      <c r="W125" s="38"/>
      <c r="X125" s="38"/>
      <c r="Y125" s="38"/>
      <c r="Z125" s="38"/>
    </row>
    <row r="126" spans="1:26" x14ac:dyDescent="0.25">
      <c r="A126" s="280">
        <f t="shared" si="7"/>
        <v>124</v>
      </c>
      <c r="B126" s="277"/>
      <c r="C126" s="52" t="str">
        <f t="shared" si="5"/>
        <v>6UEBELL</v>
      </c>
      <c r="D126" s="52"/>
      <c r="E126" s="53">
        <f>+'CALCULO TARIFAS CC '!$U$45</f>
        <v>0.82386810577067515</v>
      </c>
      <c r="F126" s="54">
        <f t="shared" si="6"/>
        <v>267.6567</v>
      </c>
      <c r="G126" s="55">
        <f t="shared" si="2"/>
        <v>220.51</v>
      </c>
      <c r="H126" s="49" t="s">
        <v>276</v>
      </c>
      <c r="I126" s="27" t="s">
        <v>507</v>
      </c>
      <c r="J126" s="27">
        <v>267.65672619999998</v>
      </c>
      <c r="K126" s="38"/>
      <c r="L126" s="381"/>
      <c r="M126" s="268"/>
      <c r="N126" s="269"/>
      <c r="O126" s="269"/>
      <c r="P126" s="283"/>
      <c r="Q126" s="269"/>
      <c r="R126" s="269"/>
      <c r="S126" s="38"/>
      <c r="T126" s="38"/>
      <c r="U126" s="38"/>
      <c r="V126" s="38"/>
      <c r="W126" s="38"/>
      <c r="X126" s="38"/>
      <c r="Y126" s="38"/>
      <c r="Z126" s="38"/>
    </row>
    <row r="127" spans="1:26" x14ac:dyDescent="0.25">
      <c r="A127" s="280">
        <f t="shared" si="7"/>
        <v>125</v>
      </c>
      <c r="B127" s="277"/>
      <c r="C127" s="52" t="str">
        <f t="shared" si="5"/>
        <v>6UECSA</v>
      </c>
      <c r="D127" s="52"/>
      <c r="E127" s="53">
        <f>+'CALCULO TARIFAS CC '!$U$45</f>
        <v>0.82386810577067515</v>
      </c>
      <c r="F127" s="54">
        <f t="shared" si="6"/>
        <v>266.53620000000001</v>
      </c>
      <c r="G127" s="55">
        <f t="shared" si="2"/>
        <v>219.59</v>
      </c>
      <c r="H127" s="49" t="s">
        <v>276</v>
      </c>
      <c r="I127" s="27" t="s">
        <v>365</v>
      </c>
      <c r="J127" s="27">
        <v>266.5361916</v>
      </c>
      <c r="K127" s="38"/>
      <c r="L127" s="381"/>
      <c r="M127" s="268"/>
      <c r="N127" s="269"/>
      <c r="O127" s="269"/>
      <c r="P127" s="283"/>
      <c r="Q127" s="269"/>
      <c r="R127" s="269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25">
      <c r="A128" s="280">
        <f t="shared" si="7"/>
        <v>126</v>
      </c>
      <c r="B128" s="277"/>
      <c r="C128" s="52" t="str">
        <f t="shared" si="5"/>
        <v>6DEDECHI</v>
      </c>
      <c r="D128" s="52"/>
      <c r="E128" s="53">
        <f>+'CALCULO TARIFAS CC '!$U$45</f>
        <v>0.82386810577067515</v>
      </c>
      <c r="F128" s="54">
        <f t="shared" si="6"/>
        <v>71535.7215</v>
      </c>
      <c r="G128" s="55">
        <f t="shared" si="2"/>
        <v>58936</v>
      </c>
      <c r="H128" s="49" t="s">
        <v>276</v>
      </c>
      <c r="I128" s="27" t="s">
        <v>21</v>
      </c>
      <c r="J128" s="27">
        <v>71535.721539999999</v>
      </c>
      <c r="K128" s="38"/>
      <c r="L128" s="381"/>
      <c r="M128" s="268"/>
      <c r="N128" s="269"/>
      <c r="O128" s="269"/>
      <c r="P128" s="283"/>
      <c r="Q128" s="269"/>
      <c r="R128" s="269"/>
      <c r="S128" s="38"/>
      <c r="T128" s="38"/>
      <c r="U128" s="38"/>
      <c r="V128" s="38"/>
      <c r="W128" s="38"/>
      <c r="X128" s="38"/>
      <c r="Y128" s="38"/>
      <c r="Z128" s="38"/>
    </row>
    <row r="129" spans="1:26" x14ac:dyDescent="0.25">
      <c r="A129" s="280">
        <f t="shared" si="7"/>
        <v>127</v>
      </c>
      <c r="B129" s="277"/>
      <c r="C129" s="52" t="str">
        <f t="shared" si="5"/>
        <v>6DEDEMET</v>
      </c>
      <c r="D129" s="52"/>
      <c r="E129" s="53">
        <f>+'CALCULO TARIFAS CC '!$U$45</f>
        <v>0.82386810577067515</v>
      </c>
      <c r="F129" s="54">
        <f t="shared" si="6"/>
        <v>308895.36780000001</v>
      </c>
      <c r="G129" s="55">
        <f t="shared" si="2"/>
        <v>254489.04</v>
      </c>
      <c r="H129" s="49" t="s">
        <v>276</v>
      </c>
      <c r="I129" s="27" t="s">
        <v>22</v>
      </c>
      <c r="J129" s="27">
        <v>308895.36781209998</v>
      </c>
      <c r="K129" s="38"/>
      <c r="L129" s="381"/>
      <c r="M129" s="268"/>
      <c r="N129" s="269"/>
      <c r="O129" s="269"/>
      <c r="P129" s="283"/>
      <c r="Q129" s="269"/>
      <c r="R129" s="269"/>
      <c r="S129" s="38"/>
      <c r="T129" s="38"/>
      <c r="U129" s="38"/>
      <c r="V129" s="38"/>
      <c r="W129" s="38"/>
      <c r="X129" s="38"/>
      <c r="Y129" s="38"/>
      <c r="Z129" s="38"/>
    </row>
    <row r="130" spans="1:26" x14ac:dyDescent="0.25">
      <c r="A130" s="280">
        <f t="shared" si="7"/>
        <v>128</v>
      </c>
      <c r="B130" s="277"/>
      <c r="C130" s="52" t="str">
        <f t="shared" si="5"/>
        <v>6UEDIF3M</v>
      </c>
      <c r="D130" s="52"/>
      <c r="E130" s="53">
        <f>+'CALCULO TARIFAS CC '!$U$45</f>
        <v>0.82386810577067515</v>
      </c>
      <c r="F130" s="54">
        <f t="shared" si="6"/>
        <v>190.60140000000001</v>
      </c>
      <c r="G130" s="55">
        <f t="shared" si="2"/>
        <v>157.03</v>
      </c>
      <c r="H130" s="49" t="s">
        <v>276</v>
      </c>
      <c r="I130" s="27" t="s">
        <v>799</v>
      </c>
      <c r="J130" s="27">
        <v>190.60136990000001</v>
      </c>
      <c r="K130" s="38"/>
      <c r="L130" s="381"/>
      <c r="M130" s="268"/>
      <c r="N130" s="269"/>
      <c r="O130" s="269"/>
      <c r="P130" s="283"/>
      <c r="Q130" s="269"/>
      <c r="R130" s="269"/>
      <c r="S130" s="38"/>
      <c r="T130" s="38"/>
      <c r="U130" s="38"/>
      <c r="V130" s="38"/>
      <c r="W130" s="38"/>
      <c r="X130" s="38"/>
      <c r="Y130" s="38"/>
      <c r="Z130" s="38"/>
    </row>
    <row r="131" spans="1:26" x14ac:dyDescent="0.25">
      <c r="A131" s="280">
        <f t="shared" si="7"/>
        <v>129</v>
      </c>
      <c r="B131" s="277"/>
      <c r="C131" s="52" t="str">
        <f t="shared" ref="C131:C194" si="10">I131</f>
        <v>6UEEUA</v>
      </c>
      <c r="D131" s="52"/>
      <c r="E131" s="53">
        <f>+'CALCULO TARIFAS CC '!$U$45</f>
        <v>0.82386810577067515</v>
      </c>
      <c r="F131" s="54">
        <f t="shared" si="6"/>
        <v>565.01379999999995</v>
      </c>
      <c r="G131" s="55">
        <f t="shared" si="2"/>
        <v>465.5</v>
      </c>
      <c r="H131" s="49" t="s">
        <v>276</v>
      </c>
      <c r="I131" s="27" t="s">
        <v>46</v>
      </c>
      <c r="J131" s="27">
        <v>565.01375489999998</v>
      </c>
      <c r="K131" s="38"/>
      <c r="L131" s="381"/>
      <c r="M131" s="268"/>
      <c r="N131" s="269"/>
      <c r="O131" s="269"/>
      <c r="P131" s="283"/>
      <c r="Q131" s="269"/>
      <c r="R131" s="269"/>
      <c r="S131" s="38"/>
      <c r="T131" s="38"/>
      <c r="U131" s="38"/>
      <c r="V131" s="38"/>
      <c r="W131" s="38"/>
      <c r="X131" s="38"/>
      <c r="Y131" s="38"/>
      <c r="Z131" s="38"/>
    </row>
    <row r="132" spans="1:26" x14ac:dyDescent="0.25">
      <c r="A132" s="280">
        <f t="shared" si="7"/>
        <v>130</v>
      </c>
      <c r="B132" s="277"/>
      <c r="C132" s="52" t="str">
        <f t="shared" si="10"/>
        <v>6GEGEISTMO</v>
      </c>
      <c r="D132" s="52"/>
      <c r="E132" s="53">
        <f>+'CALCULO TARIFAS CC '!$U$45</f>
        <v>0.82386810577067515</v>
      </c>
      <c r="F132" s="54">
        <f t="shared" si="6"/>
        <v>18.749300000000002</v>
      </c>
      <c r="G132" s="55">
        <f t="shared" si="2"/>
        <v>15.45</v>
      </c>
      <c r="H132" s="49" t="s">
        <v>276</v>
      </c>
      <c r="I132" s="27" t="s">
        <v>768</v>
      </c>
      <c r="J132" s="27">
        <v>18.749317000000001</v>
      </c>
      <c r="K132" s="38"/>
      <c r="L132" s="381"/>
      <c r="M132" s="268"/>
      <c r="N132" s="269"/>
      <c r="O132" s="269"/>
      <c r="P132" s="283"/>
      <c r="Q132" s="269"/>
      <c r="R132" s="269"/>
      <c r="S132" s="38"/>
      <c r="T132" s="38"/>
      <c r="U132" s="38"/>
      <c r="V132" s="38"/>
      <c r="W132" s="38"/>
      <c r="X132" s="38"/>
      <c r="Y132" s="38"/>
      <c r="Z132" s="38"/>
    </row>
    <row r="133" spans="1:26" x14ac:dyDescent="0.25">
      <c r="A133" s="280">
        <f t="shared" ref="A133:A196" si="11">A132+1</f>
        <v>131</v>
      </c>
      <c r="B133" s="277"/>
      <c r="C133" s="52" t="str">
        <f t="shared" si="10"/>
        <v>6GEISA</v>
      </c>
      <c r="D133" s="52"/>
      <c r="E133" s="53">
        <f>+'CALCULO TARIFAS CC '!$U$45</f>
        <v>0.82386810577067515</v>
      </c>
      <c r="F133" s="54">
        <f t="shared" si="6"/>
        <v>3.6600000000000001E-2</v>
      </c>
      <c r="G133" s="55">
        <f t="shared" si="2"/>
        <v>0.03</v>
      </c>
      <c r="H133" s="49" t="s">
        <v>276</v>
      </c>
      <c r="I133" s="27" t="s">
        <v>853</v>
      </c>
      <c r="J133" s="27">
        <v>3.6600000000000001E-2</v>
      </c>
      <c r="K133" s="38"/>
      <c r="L133" s="381"/>
      <c r="M133" s="268"/>
      <c r="N133" s="269"/>
      <c r="O133" s="269"/>
      <c r="P133" s="283"/>
      <c r="Q133" s="269"/>
      <c r="R133" s="269"/>
      <c r="S133" s="38"/>
      <c r="T133" s="38"/>
      <c r="U133" s="38"/>
      <c r="V133" s="38"/>
      <c r="W133" s="38"/>
      <c r="X133" s="38"/>
      <c r="Y133" s="38"/>
      <c r="Z133" s="38"/>
    </row>
    <row r="134" spans="1:26" x14ac:dyDescent="0.25">
      <c r="A134" s="280">
        <f t="shared" si="11"/>
        <v>132</v>
      </c>
      <c r="B134" s="277"/>
      <c r="C134" s="52" t="str">
        <f t="shared" si="10"/>
        <v>6GENELSOLAR</v>
      </c>
      <c r="D134" s="52"/>
      <c r="E134" s="53">
        <f>+'CALCULO TARIFAS CC '!$U$45</f>
        <v>0.82386810577067515</v>
      </c>
      <c r="F134" s="54">
        <f t="shared" si="6"/>
        <v>27.830500000000001</v>
      </c>
      <c r="G134" s="55">
        <f t="shared" si="2"/>
        <v>22.93</v>
      </c>
      <c r="H134" s="49" t="s">
        <v>276</v>
      </c>
      <c r="I134" s="27" t="s">
        <v>854</v>
      </c>
      <c r="J134" s="27">
        <v>27.830499100000001</v>
      </c>
      <c r="K134" s="38"/>
      <c r="L134" s="381"/>
      <c r="M134" s="268"/>
      <c r="N134" s="269"/>
      <c r="O134" s="269"/>
      <c r="P134" s="283"/>
      <c r="Q134" s="269"/>
      <c r="R134" s="269"/>
      <c r="S134" s="38"/>
      <c r="T134" s="38"/>
      <c r="U134" s="38"/>
      <c r="V134" s="38"/>
      <c r="W134" s="38"/>
      <c r="X134" s="38"/>
      <c r="Y134" s="38"/>
      <c r="Z134" s="38"/>
    </row>
    <row r="135" spans="1:26" x14ac:dyDescent="0.25">
      <c r="A135" s="280">
        <f t="shared" si="11"/>
        <v>133</v>
      </c>
      <c r="B135" s="277"/>
      <c r="C135" s="52" t="str">
        <f t="shared" si="10"/>
        <v>6DENSA</v>
      </c>
      <c r="D135" s="52"/>
      <c r="E135" s="53">
        <f>+'CALCULO TARIFAS CC '!$U$45</f>
        <v>0.82386810577067515</v>
      </c>
      <c r="F135" s="54">
        <f t="shared" si="6"/>
        <v>258862.68109999999</v>
      </c>
      <c r="G135" s="55">
        <f t="shared" si="2"/>
        <v>213268.71</v>
      </c>
      <c r="H135" s="49" t="s">
        <v>276</v>
      </c>
      <c r="I135" s="27" t="s">
        <v>23</v>
      </c>
      <c r="J135" s="27">
        <v>258862.6811285</v>
      </c>
      <c r="K135" s="38"/>
      <c r="L135" s="381"/>
      <c r="M135" s="268"/>
      <c r="N135" s="269"/>
      <c r="O135" s="269"/>
      <c r="P135" s="283"/>
      <c r="Q135" s="269"/>
      <c r="R135" s="269"/>
      <c r="S135" s="38"/>
      <c r="T135" s="38"/>
      <c r="U135" s="38"/>
      <c r="V135" s="38"/>
      <c r="W135" s="38"/>
      <c r="X135" s="38"/>
      <c r="Y135" s="38"/>
      <c r="Z135" s="38"/>
    </row>
    <row r="136" spans="1:26" x14ac:dyDescent="0.25">
      <c r="A136" s="280">
        <f t="shared" si="11"/>
        <v>134</v>
      </c>
      <c r="B136" s="277"/>
      <c r="C136" s="52" t="str">
        <f t="shared" si="10"/>
        <v>6UENSACV</v>
      </c>
      <c r="D136" s="52"/>
      <c r="E136" s="53">
        <f>+'CALCULO TARIFAS CC '!$U$45</f>
        <v>0.82386810577067515</v>
      </c>
      <c r="F136" s="54">
        <f t="shared" si="6"/>
        <v>56.86</v>
      </c>
      <c r="G136" s="55">
        <f t="shared" si="2"/>
        <v>46.85</v>
      </c>
      <c r="H136" s="49" t="s">
        <v>276</v>
      </c>
      <c r="I136" s="27" t="s">
        <v>743</v>
      </c>
      <c r="J136" s="27">
        <v>56.859997499999999</v>
      </c>
      <c r="K136" s="38"/>
      <c r="L136" s="381"/>
      <c r="M136" s="268"/>
      <c r="N136" s="269"/>
      <c r="O136" s="269"/>
      <c r="P136" s="283"/>
      <c r="Q136" s="269"/>
      <c r="R136" s="269"/>
      <c r="S136" s="38"/>
      <c r="T136" s="38"/>
      <c r="U136" s="38"/>
      <c r="V136" s="38"/>
      <c r="W136" s="38"/>
      <c r="X136" s="38"/>
      <c r="Y136" s="38"/>
      <c r="Z136" s="38"/>
    </row>
    <row r="137" spans="1:26" x14ac:dyDescent="0.25">
      <c r="A137" s="280">
        <f t="shared" si="11"/>
        <v>135</v>
      </c>
      <c r="B137" s="277"/>
      <c r="C137" s="52" t="str">
        <f t="shared" si="10"/>
        <v>6UEUBP</v>
      </c>
      <c r="D137" s="52"/>
      <c r="E137" s="53">
        <f>+'CALCULO TARIFAS CC '!$U$45</f>
        <v>0.82386810577067515</v>
      </c>
      <c r="F137" s="54">
        <f t="shared" si="6"/>
        <v>426.90710000000001</v>
      </c>
      <c r="G137" s="55">
        <f t="shared" si="2"/>
        <v>351.72</v>
      </c>
      <c r="H137" s="49" t="s">
        <v>276</v>
      </c>
      <c r="I137" s="27" t="s">
        <v>800</v>
      </c>
      <c r="J137" s="27">
        <v>426.90707420000001</v>
      </c>
      <c r="K137" s="38"/>
      <c r="L137" s="381"/>
      <c r="M137" s="268"/>
      <c r="N137" s="269"/>
      <c r="O137" s="269"/>
      <c r="P137" s="283"/>
      <c r="Q137" s="269"/>
      <c r="R137" s="269"/>
      <c r="S137" s="38"/>
      <c r="T137" s="38"/>
      <c r="U137" s="38"/>
      <c r="V137" s="38"/>
      <c r="W137" s="38"/>
      <c r="X137" s="38"/>
      <c r="Y137" s="38"/>
      <c r="Z137" s="38"/>
    </row>
    <row r="138" spans="1:26" x14ac:dyDescent="0.25">
      <c r="A138" s="280">
        <f t="shared" si="11"/>
        <v>136</v>
      </c>
      <c r="B138" s="277"/>
      <c r="C138" s="52" t="str">
        <f t="shared" si="10"/>
        <v>6UEVOLTOW</v>
      </c>
      <c r="D138" s="52"/>
      <c r="E138" s="53">
        <f>+'CALCULO TARIFAS CC '!$U$45</f>
        <v>0.82386810577067515</v>
      </c>
      <c r="F138" s="54">
        <f t="shared" si="6"/>
        <v>69.97</v>
      </c>
      <c r="G138" s="55">
        <f t="shared" si="2"/>
        <v>57.65</v>
      </c>
      <c r="H138" s="49" t="s">
        <v>276</v>
      </c>
      <c r="I138" s="27" t="s">
        <v>801</v>
      </c>
      <c r="J138" s="27">
        <v>69.969962100000004</v>
      </c>
      <c r="K138" s="38"/>
      <c r="L138" s="381"/>
      <c r="M138" s="268"/>
      <c r="N138" s="269"/>
      <c r="O138" s="269"/>
      <c r="P138" s="283"/>
      <c r="Q138" s="269"/>
      <c r="R138" s="269"/>
      <c r="S138" s="38"/>
      <c r="T138" s="38"/>
      <c r="U138" s="38"/>
      <c r="V138" s="38"/>
      <c r="W138" s="38"/>
      <c r="X138" s="38"/>
      <c r="Y138" s="38"/>
      <c r="Z138" s="38"/>
    </row>
    <row r="139" spans="1:26" x14ac:dyDescent="0.25">
      <c r="A139" s="280">
        <f t="shared" si="11"/>
        <v>137</v>
      </c>
      <c r="B139" s="277"/>
      <c r="C139" s="52" t="str">
        <f t="shared" si="10"/>
        <v>6UFA12OC96</v>
      </c>
      <c r="D139" s="52"/>
      <c r="E139" s="53">
        <f>+'CALCULO TARIFAS CC '!$U$45</f>
        <v>0.82386810577067515</v>
      </c>
      <c r="F139" s="54">
        <f t="shared" si="6"/>
        <v>116.2747</v>
      </c>
      <c r="G139" s="55">
        <f t="shared" si="2"/>
        <v>95.8</v>
      </c>
      <c r="H139" s="49" t="s">
        <v>276</v>
      </c>
      <c r="I139" s="27" t="s">
        <v>542</v>
      </c>
      <c r="J139" s="27">
        <v>116.27466630000001</v>
      </c>
      <c r="K139" s="38"/>
      <c r="L139" s="381"/>
      <c r="M139" s="268"/>
      <c r="N139" s="269"/>
      <c r="O139" s="269"/>
      <c r="P139" s="283"/>
      <c r="Q139" s="269"/>
      <c r="R139" s="269"/>
      <c r="S139" s="38"/>
      <c r="T139" s="38"/>
      <c r="U139" s="38"/>
      <c r="V139" s="38"/>
      <c r="W139" s="38"/>
      <c r="X139" s="38"/>
      <c r="Y139" s="38"/>
      <c r="Z139" s="38"/>
    </row>
    <row r="140" spans="1:26" x14ac:dyDescent="0.25">
      <c r="A140" s="280">
        <f t="shared" si="11"/>
        <v>138</v>
      </c>
      <c r="B140" s="277"/>
      <c r="C140" s="52" t="str">
        <f t="shared" si="10"/>
        <v>6UFA1CEDI69</v>
      </c>
      <c r="D140" s="52"/>
      <c r="E140" s="53">
        <f>+'CALCULO TARIFAS CC '!$U$45</f>
        <v>0.82386810577067515</v>
      </c>
      <c r="F140" s="54">
        <f t="shared" si="6"/>
        <v>111.2227</v>
      </c>
      <c r="G140" s="55">
        <f t="shared" si="2"/>
        <v>91.63</v>
      </c>
      <c r="H140" s="49" t="s">
        <v>276</v>
      </c>
      <c r="I140" s="27" t="s">
        <v>543</v>
      </c>
      <c r="J140" s="27">
        <v>111.2226625</v>
      </c>
      <c r="K140" s="38"/>
      <c r="L140" s="381"/>
      <c r="M140" s="268"/>
      <c r="N140" s="269"/>
      <c r="O140" s="269"/>
      <c r="P140" s="283"/>
      <c r="Q140" s="269"/>
      <c r="R140" s="269"/>
      <c r="S140" s="38"/>
      <c r="T140" s="38"/>
      <c r="U140" s="38"/>
      <c r="V140" s="38"/>
      <c r="W140" s="38"/>
      <c r="X140" s="38"/>
      <c r="Y140" s="38"/>
      <c r="Z140" s="38"/>
    </row>
    <row r="141" spans="1:26" x14ac:dyDescent="0.25">
      <c r="A141" s="280">
        <f t="shared" si="11"/>
        <v>139</v>
      </c>
      <c r="B141" s="277"/>
      <c r="C141" s="52" t="str">
        <f t="shared" si="10"/>
        <v>6UFA1WESM89</v>
      </c>
      <c r="D141" s="52"/>
      <c r="E141" s="53">
        <f>+'CALCULO TARIFAS CC '!$U$45</f>
        <v>0.82386810577067515</v>
      </c>
      <c r="F141" s="54">
        <f t="shared" si="6"/>
        <v>38.610999999999997</v>
      </c>
      <c r="G141" s="55">
        <f t="shared" si="2"/>
        <v>31.81</v>
      </c>
      <c r="H141" s="49" t="s">
        <v>276</v>
      </c>
      <c r="I141" s="27" t="s">
        <v>544</v>
      </c>
      <c r="J141" s="27">
        <v>38.611013200000002</v>
      </c>
      <c r="K141" s="38"/>
      <c r="L141" s="381"/>
      <c r="M141" s="268"/>
      <c r="N141" s="269"/>
      <c r="O141" s="269"/>
      <c r="P141" s="283"/>
      <c r="Q141" s="269"/>
      <c r="R141" s="269"/>
      <c r="S141" s="38"/>
      <c r="T141" s="38"/>
      <c r="U141" s="38"/>
      <c r="V141" s="38"/>
      <c r="W141" s="38"/>
      <c r="X141" s="38"/>
      <c r="Y141" s="38"/>
      <c r="Z141" s="38"/>
    </row>
    <row r="142" spans="1:26" s="198" customFormat="1" x14ac:dyDescent="0.25">
      <c r="A142" s="280">
        <f t="shared" si="11"/>
        <v>140</v>
      </c>
      <c r="B142" s="277"/>
      <c r="C142" s="52" t="str">
        <f t="shared" si="10"/>
        <v>6UFA2CEDI64</v>
      </c>
      <c r="D142" s="52"/>
      <c r="E142" s="53">
        <f>+'CALCULO TARIFAS CC '!$U$45</f>
        <v>0.82386810577067515</v>
      </c>
      <c r="F142" s="54">
        <f t="shared" si="6"/>
        <v>84.093199999999996</v>
      </c>
      <c r="G142" s="55">
        <f t="shared" si="2"/>
        <v>69.28</v>
      </c>
      <c r="H142" s="49" t="s">
        <v>276</v>
      </c>
      <c r="I142" s="27" t="s">
        <v>545</v>
      </c>
      <c r="J142" s="27">
        <v>84.093174099999999</v>
      </c>
      <c r="K142" s="38"/>
      <c r="L142" s="381"/>
      <c r="M142" s="268"/>
      <c r="N142" s="269"/>
      <c r="O142" s="269"/>
      <c r="P142" s="283"/>
      <c r="Q142" s="269"/>
      <c r="R142" s="269"/>
      <c r="S142" s="38"/>
      <c r="T142" s="38"/>
      <c r="U142" s="38"/>
      <c r="V142" s="38"/>
      <c r="W142" s="38"/>
      <c r="X142" s="38"/>
      <c r="Y142" s="38"/>
      <c r="Z142" s="38"/>
    </row>
    <row r="143" spans="1:26" s="198" customFormat="1" x14ac:dyDescent="0.25">
      <c r="A143" s="280">
        <f t="shared" si="11"/>
        <v>141</v>
      </c>
      <c r="B143" s="277"/>
      <c r="C143" s="52" t="str">
        <f t="shared" si="10"/>
        <v>6UFA2WESM91</v>
      </c>
      <c r="D143" s="52"/>
      <c r="E143" s="53">
        <f>+'CALCULO TARIFAS CC '!$U$45</f>
        <v>0.82386810577067515</v>
      </c>
      <c r="F143" s="54">
        <f t="shared" si="6"/>
        <v>80.546400000000006</v>
      </c>
      <c r="G143" s="55">
        <f t="shared" si="2"/>
        <v>66.36</v>
      </c>
      <c r="H143" s="49" t="s">
        <v>276</v>
      </c>
      <c r="I143" s="27" t="s">
        <v>546</v>
      </c>
      <c r="J143" s="27">
        <v>80.546399699999995</v>
      </c>
      <c r="K143" s="38"/>
      <c r="L143" s="381"/>
      <c r="M143" s="268"/>
      <c r="N143" s="269"/>
      <c r="O143" s="269"/>
      <c r="P143" s="283"/>
      <c r="Q143" s="269"/>
      <c r="R143" s="269"/>
      <c r="S143" s="38"/>
      <c r="T143" s="38"/>
      <c r="U143" s="38"/>
      <c r="V143" s="38"/>
      <c r="W143" s="38"/>
      <c r="X143" s="38"/>
      <c r="Y143" s="38"/>
      <c r="Z143" s="38"/>
    </row>
    <row r="144" spans="1:26" s="198" customFormat="1" x14ac:dyDescent="0.25">
      <c r="A144" s="280">
        <f t="shared" si="11"/>
        <v>142</v>
      </c>
      <c r="B144" s="277"/>
      <c r="C144" s="52" t="str">
        <f t="shared" si="10"/>
        <v>6UFA3CEDI70</v>
      </c>
      <c r="D144" s="52"/>
      <c r="E144" s="53">
        <f>+'CALCULO TARIFAS CC '!$U$45</f>
        <v>0.82386810577067515</v>
      </c>
      <c r="F144" s="54">
        <f t="shared" si="6"/>
        <v>31.482600000000001</v>
      </c>
      <c r="G144" s="55">
        <f t="shared" si="2"/>
        <v>25.94</v>
      </c>
      <c r="H144" s="49" t="s">
        <v>276</v>
      </c>
      <c r="I144" s="27" t="s">
        <v>547</v>
      </c>
      <c r="J144" s="27">
        <v>31.482611500000001</v>
      </c>
      <c r="K144" s="38"/>
      <c r="L144" s="381"/>
      <c r="M144" s="268"/>
      <c r="N144" s="269"/>
      <c r="O144" s="269"/>
      <c r="P144" s="283"/>
      <c r="Q144" s="269"/>
      <c r="R144" s="269"/>
      <c r="S144" s="38"/>
      <c r="T144" s="38"/>
      <c r="U144" s="38"/>
      <c r="V144" s="38"/>
      <c r="W144" s="38"/>
      <c r="X144" s="38"/>
      <c r="Y144" s="38"/>
      <c r="Z144" s="38"/>
    </row>
    <row r="145" spans="1:26" s="198" customFormat="1" x14ac:dyDescent="0.25">
      <c r="A145" s="280">
        <f t="shared" si="11"/>
        <v>143</v>
      </c>
      <c r="B145" s="277"/>
      <c r="C145" s="52" t="str">
        <f t="shared" si="10"/>
        <v>6UFA4CEDI73</v>
      </c>
      <c r="D145" s="52"/>
      <c r="E145" s="53">
        <f>+'CALCULO TARIFAS CC '!$U$45</f>
        <v>0.82386810577067515</v>
      </c>
      <c r="F145" s="54">
        <f t="shared" si="6"/>
        <v>59.359499999999997</v>
      </c>
      <c r="G145" s="55">
        <f t="shared" si="2"/>
        <v>48.9</v>
      </c>
      <c r="H145" s="49" t="s">
        <v>276</v>
      </c>
      <c r="I145" s="27" t="s">
        <v>548</v>
      </c>
      <c r="J145" s="27">
        <v>59.3594814</v>
      </c>
      <c r="K145" s="38"/>
      <c r="L145" s="381"/>
      <c r="M145" s="268"/>
      <c r="N145" s="269"/>
      <c r="O145" s="269"/>
      <c r="P145" s="283"/>
      <c r="Q145" s="269"/>
      <c r="R145" s="269"/>
      <c r="S145" s="38"/>
      <c r="T145" s="38"/>
      <c r="U145" s="38"/>
      <c r="V145" s="38"/>
      <c r="W145" s="38"/>
      <c r="X145" s="38"/>
      <c r="Y145" s="38"/>
      <c r="Z145" s="38"/>
    </row>
    <row r="146" spans="1:26" s="198" customFormat="1" x14ac:dyDescent="0.25">
      <c r="A146" s="280">
        <f t="shared" si="11"/>
        <v>144</v>
      </c>
      <c r="B146" s="277"/>
      <c r="C146" s="52" t="str">
        <f t="shared" si="10"/>
        <v>6UFA50CA21</v>
      </c>
      <c r="D146" s="52"/>
      <c r="E146" s="53">
        <f>+'CALCULO TARIFAS CC '!$U$45</f>
        <v>0.82386810577067515</v>
      </c>
      <c r="F146" s="54">
        <f t="shared" si="6"/>
        <v>49.503900000000002</v>
      </c>
      <c r="G146" s="55">
        <f t="shared" si="2"/>
        <v>40.78</v>
      </c>
      <c r="H146" s="49" t="s">
        <v>276</v>
      </c>
      <c r="I146" s="27" t="s">
        <v>549</v>
      </c>
      <c r="J146" s="27">
        <v>49.503907499999997</v>
      </c>
      <c r="K146" s="38"/>
      <c r="L146" s="381"/>
      <c r="M146" s="268"/>
      <c r="N146" s="269"/>
      <c r="O146" s="269"/>
      <c r="P146" s="283"/>
      <c r="Q146" s="269"/>
      <c r="R146" s="269"/>
      <c r="S146" s="38"/>
      <c r="T146" s="38"/>
      <c r="U146" s="38"/>
      <c r="V146" s="38"/>
      <c r="W146" s="38"/>
      <c r="X146" s="38"/>
      <c r="Y146" s="38"/>
      <c r="Z146" s="38"/>
    </row>
    <row r="147" spans="1:26" s="198" customFormat="1" x14ac:dyDescent="0.25">
      <c r="A147" s="280">
        <f t="shared" si="11"/>
        <v>145</v>
      </c>
      <c r="B147" s="277"/>
      <c r="C147" s="52" t="str">
        <f t="shared" si="10"/>
        <v>6UFA5CEDI85</v>
      </c>
      <c r="D147" s="52"/>
      <c r="E147" s="53">
        <f>+'CALCULO TARIFAS CC '!$U$45</f>
        <v>0.82386810577067515</v>
      </c>
      <c r="F147" s="54">
        <f t="shared" si="6"/>
        <v>100.51309999999999</v>
      </c>
      <c r="G147" s="55">
        <f t="shared" si="2"/>
        <v>82.81</v>
      </c>
      <c r="H147" s="49" t="s">
        <v>276</v>
      </c>
      <c r="I147" s="27" t="s">
        <v>550</v>
      </c>
      <c r="J147" s="27">
        <v>100.51311560000001</v>
      </c>
      <c r="K147" s="38"/>
      <c r="L147" s="381"/>
      <c r="M147" s="268"/>
      <c r="N147" s="269"/>
      <c r="O147" s="269"/>
      <c r="P147" s="283"/>
      <c r="Q147" s="269"/>
      <c r="R147" s="269"/>
      <c r="S147" s="38"/>
      <c r="T147" s="38"/>
      <c r="U147" s="38"/>
      <c r="V147" s="38"/>
      <c r="W147" s="38"/>
      <c r="X147" s="38"/>
      <c r="Y147" s="38"/>
      <c r="Z147" s="38"/>
    </row>
    <row r="148" spans="1:26" s="198" customFormat="1" x14ac:dyDescent="0.25">
      <c r="A148" s="280">
        <f t="shared" si="11"/>
        <v>146</v>
      </c>
      <c r="B148" s="277"/>
      <c r="C148" s="52" t="str">
        <f t="shared" si="10"/>
        <v>6UFAABRM42</v>
      </c>
      <c r="D148" s="52"/>
      <c r="E148" s="53">
        <f>+'CALCULO TARIFAS CC '!$U$45</f>
        <v>0.82386810577067515</v>
      </c>
      <c r="F148" s="54">
        <f t="shared" si="6"/>
        <v>127.7505</v>
      </c>
      <c r="G148" s="55">
        <f t="shared" si="2"/>
        <v>105.25</v>
      </c>
      <c r="H148" s="49" t="s">
        <v>276</v>
      </c>
      <c r="I148" s="27" t="s">
        <v>551</v>
      </c>
      <c r="J148" s="27">
        <v>127.75048030000001</v>
      </c>
      <c r="K148" s="38"/>
      <c r="L148" s="381"/>
      <c r="M148" s="268"/>
      <c r="N148" s="269"/>
      <c r="O148" s="269"/>
      <c r="P148" s="283"/>
      <c r="Q148" s="269"/>
      <c r="R148" s="269"/>
      <c r="S148" s="38"/>
      <c r="T148" s="38"/>
      <c r="U148" s="38"/>
      <c r="V148" s="38"/>
      <c r="W148" s="38"/>
      <c r="X148" s="38"/>
      <c r="Y148" s="38"/>
      <c r="Z148" s="38"/>
    </row>
    <row r="149" spans="1:26" s="198" customFormat="1" x14ac:dyDescent="0.25">
      <c r="A149" s="280">
        <f t="shared" si="11"/>
        <v>147</v>
      </c>
      <c r="B149" s="277"/>
      <c r="C149" s="52" t="str">
        <f t="shared" si="10"/>
        <v>6UFABGOL74</v>
      </c>
      <c r="D149" s="52"/>
      <c r="E149" s="53">
        <f>+'CALCULO TARIFAS CC '!$U$45</f>
        <v>0.82386810577067515</v>
      </c>
      <c r="F149" s="54">
        <f t="shared" si="6"/>
        <v>74.037999999999997</v>
      </c>
      <c r="G149" s="55">
        <f t="shared" si="2"/>
        <v>61</v>
      </c>
      <c r="H149" s="49" t="s">
        <v>276</v>
      </c>
      <c r="I149" s="27" t="s">
        <v>552</v>
      </c>
      <c r="J149" s="27">
        <v>74.038042799999999</v>
      </c>
      <c r="K149" s="38"/>
      <c r="L149" s="381"/>
      <c r="M149" s="268"/>
      <c r="N149" s="269"/>
      <c r="O149" s="269"/>
      <c r="P149" s="283"/>
      <c r="Q149" s="269"/>
      <c r="R149" s="269"/>
      <c r="S149" s="38"/>
      <c r="T149" s="38"/>
      <c r="U149" s="38"/>
      <c r="V149" s="38"/>
      <c r="W149" s="38"/>
      <c r="X149" s="38"/>
      <c r="Y149" s="38"/>
      <c r="Z149" s="38"/>
    </row>
    <row r="150" spans="1:26" s="198" customFormat="1" x14ac:dyDescent="0.25">
      <c r="A150" s="280">
        <f t="shared" si="11"/>
        <v>148</v>
      </c>
      <c r="B150" s="277"/>
      <c r="C150" s="52" t="str">
        <f t="shared" si="10"/>
        <v>6UFACENT92</v>
      </c>
      <c r="D150" s="52"/>
      <c r="E150" s="53">
        <f>+'CALCULO TARIFAS CC '!$U$45</f>
        <v>0.82386810577067515</v>
      </c>
      <c r="F150" s="54">
        <f t="shared" si="6"/>
        <v>139.58090000000001</v>
      </c>
      <c r="G150" s="55">
        <f t="shared" si="2"/>
        <v>115</v>
      </c>
      <c r="H150" s="49" t="s">
        <v>276</v>
      </c>
      <c r="I150" s="27" t="s">
        <v>553</v>
      </c>
      <c r="J150" s="27">
        <v>139.58087470000001</v>
      </c>
      <c r="K150" s="38"/>
      <c r="L150" s="381"/>
      <c r="M150" s="268"/>
      <c r="N150" s="269"/>
      <c r="O150" s="269"/>
      <c r="P150" s="283"/>
      <c r="Q150" s="269"/>
      <c r="R150" s="269"/>
      <c r="S150" s="38"/>
      <c r="T150" s="38"/>
      <c r="U150" s="38"/>
      <c r="V150" s="38"/>
      <c r="W150" s="38"/>
      <c r="X150" s="38"/>
      <c r="Y150" s="38"/>
      <c r="Z150" s="38"/>
    </row>
    <row r="151" spans="1:26" s="198" customFormat="1" x14ac:dyDescent="0.25">
      <c r="A151" s="280">
        <f t="shared" si="11"/>
        <v>149</v>
      </c>
      <c r="B151" s="277"/>
      <c r="C151" s="52" t="str">
        <f t="shared" si="10"/>
        <v>6UFACEST85</v>
      </c>
      <c r="D151" s="52"/>
      <c r="E151" s="53">
        <f>+'CALCULO TARIFAS CC '!$U$45</f>
        <v>0.82386810577067515</v>
      </c>
      <c r="F151" s="54">
        <f t="shared" si="6"/>
        <v>31.360900000000001</v>
      </c>
      <c r="G151" s="55">
        <f t="shared" si="2"/>
        <v>25.84</v>
      </c>
      <c r="H151" s="49" t="s">
        <v>276</v>
      </c>
      <c r="I151" s="27" t="s">
        <v>554</v>
      </c>
      <c r="J151" s="27">
        <v>31.360943899999999</v>
      </c>
      <c r="K151" s="38"/>
      <c r="L151" s="381"/>
      <c r="M151" s="268"/>
      <c r="N151" s="269"/>
      <c r="O151" s="269"/>
      <c r="P151" s="283"/>
      <c r="Q151" s="269"/>
      <c r="R151" s="269"/>
      <c r="S151" s="38"/>
      <c r="T151" s="38"/>
      <c r="U151" s="38"/>
      <c r="V151" s="38"/>
      <c r="W151" s="38"/>
      <c r="X151" s="38"/>
      <c r="Y151" s="38"/>
      <c r="Z151" s="38"/>
    </row>
    <row r="152" spans="1:26" s="198" customFormat="1" x14ac:dyDescent="0.25">
      <c r="A152" s="280">
        <f t="shared" si="11"/>
        <v>150</v>
      </c>
      <c r="B152" s="277"/>
      <c r="C152" s="52" t="str">
        <f t="shared" si="10"/>
        <v>6UFACHIPC91</v>
      </c>
      <c r="D152" s="52"/>
      <c r="E152" s="53">
        <f>+'CALCULO TARIFAS CC '!$U$45</f>
        <v>0.82386810577067515</v>
      </c>
      <c r="F152" s="54">
        <f t="shared" si="6"/>
        <v>73.405900000000003</v>
      </c>
      <c r="G152" s="55">
        <f t="shared" si="2"/>
        <v>60.48</v>
      </c>
      <c r="H152" s="49" t="s">
        <v>276</v>
      </c>
      <c r="I152" s="27" t="s">
        <v>555</v>
      </c>
      <c r="J152" s="27">
        <v>73.405892100000003</v>
      </c>
      <c r="K152" s="38"/>
      <c r="L152" s="381"/>
      <c r="M152" s="268"/>
      <c r="N152" s="269"/>
      <c r="O152" s="269"/>
      <c r="P152" s="283"/>
      <c r="Q152" s="269"/>
      <c r="R152" s="269"/>
      <c r="S152" s="38"/>
      <c r="T152" s="38"/>
      <c r="U152" s="38"/>
      <c r="V152" s="38"/>
      <c r="W152" s="38"/>
      <c r="X152" s="38"/>
      <c r="Y152" s="38"/>
      <c r="Z152" s="38"/>
    </row>
    <row r="153" spans="1:26" s="198" customFormat="1" x14ac:dyDescent="0.25">
      <c r="A153" s="280">
        <f t="shared" si="11"/>
        <v>151</v>
      </c>
      <c r="B153" s="277"/>
      <c r="C153" s="52" t="str">
        <f t="shared" si="10"/>
        <v>6UFACVERD57</v>
      </c>
      <c r="D153" s="52"/>
      <c r="E153" s="53">
        <f>+'CALCULO TARIFAS CC '!$U$45</f>
        <v>0.82386810577067515</v>
      </c>
      <c r="F153" s="54">
        <f t="shared" si="6"/>
        <v>44.589599999999997</v>
      </c>
      <c r="G153" s="55">
        <f t="shared" si="2"/>
        <v>36.74</v>
      </c>
      <c r="H153" s="49" t="s">
        <v>276</v>
      </c>
      <c r="I153" s="27" t="s">
        <v>556</v>
      </c>
      <c r="J153" s="27">
        <v>44.589598299999999</v>
      </c>
      <c r="K153" s="38"/>
      <c r="L153" s="381"/>
      <c r="M153" s="268"/>
      <c r="N153" s="269"/>
      <c r="O153" s="269"/>
      <c r="P153" s="283"/>
      <c r="Q153" s="269"/>
      <c r="R153" s="269"/>
      <c r="S153" s="38"/>
      <c r="T153" s="38"/>
      <c r="U153" s="38"/>
      <c r="V153" s="38"/>
      <c r="W153" s="38"/>
      <c r="X153" s="38"/>
      <c r="Y153" s="38"/>
      <c r="Z153" s="38"/>
    </row>
    <row r="154" spans="1:26" s="198" customFormat="1" x14ac:dyDescent="0.25">
      <c r="A154" s="280">
        <f t="shared" si="11"/>
        <v>152</v>
      </c>
      <c r="B154" s="277"/>
      <c r="C154" s="52" t="str">
        <f t="shared" si="10"/>
        <v>6UFADAVPT75</v>
      </c>
      <c r="D154" s="52"/>
      <c r="E154" s="53">
        <f>+'CALCULO TARIFAS CC '!$U$45</f>
        <v>0.82386810577067515</v>
      </c>
      <c r="F154" s="54">
        <f t="shared" si="6"/>
        <v>154.27670000000001</v>
      </c>
      <c r="G154" s="55">
        <f t="shared" si="2"/>
        <v>127.1</v>
      </c>
      <c r="H154" s="49" t="s">
        <v>276</v>
      </c>
      <c r="I154" s="27" t="s">
        <v>557</v>
      </c>
      <c r="J154" s="27">
        <v>154.27674920000001</v>
      </c>
      <c r="K154" s="38"/>
      <c r="L154" s="381"/>
      <c r="M154" s="268"/>
      <c r="N154" s="269"/>
      <c r="O154" s="269"/>
      <c r="P154" s="283"/>
      <c r="Q154" s="269"/>
      <c r="R154" s="269"/>
      <c r="S154" s="38"/>
      <c r="T154" s="38"/>
      <c r="U154" s="38"/>
      <c r="V154" s="38"/>
      <c r="W154" s="38"/>
      <c r="X154" s="38"/>
      <c r="Y154" s="38"/>
      <c r="Z154" s="38"/>
    </row>
    <row r="155" spans="1:26" s="198" customFormat="1" x14ac:dyDescent="0.25">
      <c r="A155" s="280">
        <f t="shared" si="11"/>
        <v>153</v>
      </c>
      <c r="B155" s="277"/>
      <c r="C155" s="52" t="str">
        <f t="shared" si="10"/>
        <v>6UFALANDE02</v>
      </c>
      <c r="D155" s="52"/>
      <c r="E155" s="53">
        <f>+'CALCULO TARIFAS CC '!$U$45</f>
        <v>0.82386810577067515</v>
      </c>
      <c r="F155" s="54">
        <f t="shared" si="6"/>
        <v>57.494399999999999</v>
      </c>
      <c r="G155" s="55">
        <f t="shared" si="2"/>
        <v>47.37</v>
      </c>
      <c r="H155" s="49" t="s">
        <v>276</v>
      </c>
      <c r="I155" s="27" t="s">
        <v>558</v>
      </c>
      <c r="J155" s="27">
        <v>57.4943861</v>
      </c>
      <c r="K155" s="38"/>
      <c r="L155" s="381"/>
      <c r="M155" s="268"/>
      <c r="N155" s="269"/>
      <c r="O155" s="269"/>
      <c r="P155" s="283"/>
      <c r="Q155" s="269"/>
      <c r="R155" s="269"/>
      <c r="S155" s="38"/>
      <c r="T155" s="38"/>
      <c r="U155" s="38"/>
      <c r="V155" s="38"/>
      <c r="W155" s="38"/>
      <c r="X155" s="38"/>
      <c r="Y155" s="38"/>
      <c r="Z155" s="38"/>
    </row>
    <row r="156" spans="1:26" s="198" customFormat="1" x14ac:dyDescent="0.25">
      <c r="A156" s="280">
        <f t="shared" si="11"/>
        <v>154</v>
      </c>
      <c r="B156" s="277"/>
      <c r="C156" s="52" t="str">
        <f t="shared" si="10"/>
        <v>6UFALPUEB94</v>
      </c>
      <c r="D156" s="52"/>
      <c r="E156" s="53">
        <f>+'CALCULO TARIFAS CC '!$U$45</f>
        <v>0.82386810577067515</v>
      </c>
      <c r="F156" s="54">
        <f t="shared" si="6"/>
        <v>68.0548</v>
      </c>
      <c r="G156" s="55">
        <f t="shared" si="2"/>
        <v>56.07</v>
      </c>
      <c r="H156" s="49" t="s">
        <v>276</v>
      </c>
      <c r="I156" s="27" t="s">
        <v>559</v>
      </c>
      <c r="J156" s="27">
        <v>68.054824699999998</v>
      </c>
      <c r="K156" s="38"/>
      <c r="L156" s="381"/>
      <c r="M156" s="268"/>
      <c r="N156" s="269"/>
      <c r="O156" s="269"/>
      <c r="P156" s="283"/>
      <c r="Q156" s="269"/>
      <c r="R156" s="269"/>
      <c r="S156" s="38"/>
      <c r="T156" s="38"/>
      <c r="U156" s="38"/>
      <c r="V156" s="38"/>
      <c r="W156" s="38"/>
      <c r="X156" s="38"/>
      <c r="Y156" s="38"/>
      <c r="Z156" s="38"/>
    </row>
    <row r="157" spans="1:26" s="198" customFormat="1" x14ac:dyDescent="0.25">
      <c r="A157" s="280">
        <f t="shared" si="11"/>
        <v>155</v>
      </c>
      <c r="B157" s="277"/>
      <c r="C157" s="52" t="str">
        <f t="shared" si="10"/>
        <v>6UFAOF1LA14</v>
      </c>
      <c r="D157" s="52"/>
      <c r="E157" s="53">
        <f>+'CALCULO TARIFAS CC '!$U$45</f>
        <v>0.82386810577067515</v>
      </c>
      <c r="F157" s="54">
        <f t="shared" si="6"/>
        <v>64.637900000000002</v>
      </c>
      <c r="G157" s="55">
        <f t="shared" si="2"/>
        <v>53.25</v>
      </c>
      <c r="H157" s="49" t="s">
        <v>276</v>
      </c>
      <c r="I157" s="38" t="s">
        <v>560</v>
      </c>
      <c r="J157" s="38">
        <v>64.637862299999995</v>
      </c>
      <c r="K157" s="38"/>
      <c r="L157" s="381"/>
      <c r="M157" s="268"/>
      <c r="N157" s="269"/>
      <c r="O157" s="269"/>
      <c r="P157" s="283"/>
      <c r="Q157" s="269"/>
      <c r="R157" s="269"/>
      <c r="S157" s="38"/>
      <c r="T157" s="38"/>
      <c r="U157" s="38"/>
      <c r="V157" s="38"/>
      <c r="W157" s="38"/>
      <c r="X157" s="38"/>
      <c r="Y157" s="38"/>
      <c r="Z157" s="38"/>
    </row>
    <row r="158" spans="1:26" s="205" customFormat="1" x14ac:dyDescent="0.25">
      <c r="A158" s="280">
        <f t="shared" si="11"/>
        <v>156</v>
      </c>
      <c r="B158" s="277"/>
      <c r="C158" s="52" t="str">
        <f t="shared" si="10"/>
        <v>6UFAOF2LA88</v>
      </c>
      <c r="D158" s="52"/>
      <c r="E158" s="53">
        <f>+'CALCULO TARIFAS CC '!$U$45</f>
        <v>0.82386810577067515</v>
      </c>
      <c r="F158" s="54">
        <f t="shared" ref="F158:F206" si="12">ROUND(J158,4)</f>
        <v>15.091900000000001</v>
      </c>
      <c r="G158" s="55">
        <f t="shared" ref="G158:G206" si="13">+ROUND(F158*E158,2)</f>
        <v>12.43</v>
      </c>
      <c r="H158" s="49" t="s">
        <v>276</v>
      </c>
      <c r="I158" s="38" t="s">
        <v>561</v>
      </c>
      <c r="J158" s="38">
        <v>15.0918992</v>
      </c>
      <c r="K158" s="38"/>
      <c r="L158" s="381"/>
      <c r="M158" s="268"/>
      <c r="N158" s="269"/>
      <c r="O158" s="269"/>
      <c r="P158" s="283"/>
      <c r="Q158" s="269"/>
      <c r="R158" s="269"/>
      <c r="S158" s="38"/>
      <c r="T158" s="38"/>
      <c r="U158" s="38"/>
      <c r="V158" s="38"/>
      <c r="W158" s="38"/>
      <c r="X158" s="38"/>
      <c r="Y158" s="38"/>
      <c r="Z158" s="38"/>
    </row>
    <row r="159" spans="1:26" s="205" customFormat="1" x14ac:dyDescent="0.25">
      <c r="A159" s="280">
        <f t="shared" si="11"/>
        <v>157</v>
      </c>
      <c r="B159" s="277"/>
      <c r="C159" s="52" t="str">
        <f t="shared" si="10"/>
        <v>6UFAPME54</v>
      </c>
      <c r="D159" s="52"/>
      <c r="E159" s="53">
        <f>+'CALCULO TARIFAS CC '!$U$45</f>
        <v>0.82386810577067515</v>
      </c>
      <c r="F159" s="54">
        <f t="shared" si="12"/>
        <v>36.2988</v>
      </c>
      <c r="G159" s="55">
        <f t="shared" si="13"/>
        <v>29.91</v>
      </c>
      <c r="H159" s="49" t="s">
        <v>276</v>
      </c>
      <c r="I159" s="38" t="s">
        <v>562</v>
      </c>
      <c r="J159" s="38">
        <v>36.298836000000001</v>
      </c>
      <c r="K159" s="38"/>
      <c r="L159" s="381"/>
      <c r="M159" s="268"/>
      <c r="N159" s="269"/>
      <c r="O159" s="269"/>
      <c r="P159" s="283"/>
      <c r="Q159" s="269"/>
      <c r="R159" s="269"/>
      <c r="S159" s="38"/>
      <c r="T159" s="38"/>
      <c r="U159" s="38"/>
      <c r="V159" s="38"/>
      <c r="W159" s="38"/>
      <c r="X159" s="38"/>
      <c r="Y159" s="38"/>
      <c r="Z159" s="38"/>
    </row>
    <row r="160" spans="1:26" s="205" customFormat="1" x14ac:dyDescent="0.25">
      <c r="A160" s="280">
        <f t="shared" si="11"/>
        <v>158</v>
      </c>
      <c r="B160" s="277"/>
      <c r="C160" s="52" t="str">
        <f t="shared" si="10"/>
        <v>6UFARACVAC</v>
      </c>
      <c r="D160" s="52"/>
      <c r="E160" s="53">
        <f>+'CALCULO TARIFAS CC '!$U$45</f>
        <v>0.82386810577067515</v>
      </c>
      <c r="F160" s="54">
        <f t="shared" si="12"/>
        <v>8.7034000000000002</v>
      </c>
      <c r="G160" s="55">
        <f t="shared" si="13"/>
        <v>7.17</v>
      </c>
      <c r="H160" s="49" t="s">
        <v>276</v>
      </c>
      <c r="I160" s="38" t="s">
        <v>830</v>
      </c>
      <c r="J160" s="38">
        <v>8.7033559</v>
      </c>
      <c r="K160" s="38"/>
      <c r="L160" s="381"/>
      <c r="M160" s="268"/>
      <c r="N160" s="269"/>
      <c r="O160" s="269"/>
      <c r="P160" s="283"/>
      <c r="Q160" s="269"/>
      <c r="R160" s="269"/>
      <c r="S160" s="38"/>
      <c r="T160" s="38"/>
      <c r="U160" s="38"/>
      <c r="V160" s="38"/>
      <c r="W160" s="38"/>
      <c r="X160" s="38"/>
      <c r="Y160" s="38"/>
      <c r="Z160" s="38"/>
    </row>
    <row r="161" spans="1:26" s="205" customFormat="1" x14ac:dyDescent="0.25">
      <c r="A161" s="280">
        <f t="shared" si="11"/>
        <v>159</v>
      </c>
      <c r="B161" s="277"/>
      <c r="C161" s="52" t="str">
        <f t="shared" si="10"/>
        <v>6UFASANTB81</v>
      </c>
      <c r="D161" s="52"/>
      <c r="E161" s="53">
        <f>+'CALCULO TARIFAS CC '!$U$45</f>
        <v>0.82386810577067515</v>
      </c>
      <c r="F161" s="54">
        <f t="shared" si="12"/>
        <v>63.8401</v>
      </c>
      <c r="G161" s="55">
        <f t="shared" si="13"/>
        <v>52.6</v>
      </c>
      <c r="H161" s="49" t="s">
        <v>276</v>
      </c>
      <c r="I161" s="38" t="s">
        <v>563</v>
      </c>
      <c r="J161" s="38">
        <v>63.840054100000003</v>
      </c>
      <c r="K161" s="38"/>
      <c r="L161" s="381"/>
      <c r="M161" s="268"/>
      <c r="N161" s="269"/>
      <c r="O161" s="269"/>
      <c r="P161" s="283"/>
      <c r="Q161" s="269"/>
      <c r="R161" s="269"/>
      <c r="S161" s="38"/>
      <c r="T161" s="38"/>
      <c r="U161" s="38"/>
      <c r="V161" s="38"/>
      <c r="W161" s="38"/>
      <c r="X161" s="38"/>
      <c r="Y161" s="38"/>
      <c r="Z161" s="38"/>
    </row>
    <row r="162" spans="1:26" s="205" customFormat="1" x14ac:dyDescent="0.25">
      <c r="A162" s="280">
        <f t="shared" si="11"/>
        <v>160</v>
      </c>
      <c r="B162" s="277"/>
      <c r="C162" s="52" t="str">
        <f t="shared" si="10"/>
        <v>6UFATMUER63</v>
      </c>
      <c r="D162" s="52"/>
      <c r="E162" s="53">
        <f>+'CALCULO TARIFAS CC '!$U$45</f>
        <v>0.82386810577067515</v>
      </c>
      <c r="F162" s="54">
        <f t="shared" si="12"/>
        <v>65.277799999999999</v>
      </c>
      <c r="G162" s="55">
        <f t="shared" si="13"/>
        <v>53.78</v>
      </c>
      <c r="H162" s="49" t="s">
        <v>276</v>
      </c>
      <c r="I162" s="38" t="s">
        <v>564</v>
      </c>
      <c r="J162" s="38">
        <v>65.277809700000006</v>
      </c>
      <c r="K162" s="38"/>
      <c r="L162" s="381"/>
      <c r="M162" s="268"/>
      <c r="N162" s="269"/>
      <c r="O162" s="269"/>
      <c r="P162" s="283"/>
      <c r="Q162" s="269"/>
      <c r="R162" s="269"/>
      <c r="S162" s="38"/>
      <c r="T162" s="38"/>
      <c r="U162" s="38"/>
      <c r="V162" s="38"/>
      <c r="W162" s="38"/>
      <c r="X162" s="38"/>
      <c r="Y162" s="38"/>
      <c r="Z162" s="38"/>
    </row>
    <row r="163" spans="1:26" s="205" customFormat="1" x14ac:dyDescent="0.25">
      <c r="A163" s="280">
        <f t="shared" si="11"/>
        <v>161</v>
      </c>
      <c r="B163" s="277"/>
      <c r="C163" s="52" t="str">
        <f t="shared" si="10"/>
        <v>6UFAVLUC26</v>
      </c>
      <c r="D163" s="52"/>
      <c r="E163" s="53">
        <f>+'CALCULO TARIFAS CC '!$U$45</f>
        <v>0.82386810577067515</v>
      </c>
      <c r="F163" s="54">
        <f t="shared" si="12"/>
        <v>60.430300000000003</v>
      </c>
      <c r="G163" s="55">
        <f t="shared" si="13"/>
        <v>49.79</v>
      </c>
      <c r="H163" s="49" t="s">
        <v>276</v>
      </c>
      <c r="I163" s="38" t="s">
        <v>565</v>
      </c>
      <c r="J163" s="38">
        <v>60.430286899999999</v>
      </c>
      <c r="K163" s="38"/>
      <c r="L163" s="381"/>
      <c r="M163" s="268"/>
      <c r="N163" s="269"/>
      <c r="O163" s="269"/>
      <c r="P163" s="283"/>
      <c r="Q163" s="269"/>
      <c r="R163" s="269"/>
      <c r="S163" s="38"/>
      <c r="T163" s="38"/>
      <c r="U163" s="38"/>
      <c r="V163" s="38"/>
      <c r="W163" s="38"/>
      <c r="X163" s="38"/>
      <c r="Y163" s="38"/>
      <c r="Z163" s="38"/>
    </row>
    <row r="164" spans="1:26" s="205" customFormat="1" x14ac:dyDescent="0.25">
      <c r="A164" s="280">
        <f t="shared" si="11"/>
        <v>162</v>
      </c>
      <c r="B164" s="277"/>
      <c r="C164" s="52" t="str">
        <f t="shared" si="10"/>
        <v>6UFCC</v>
      </c>
      <c r="D164" s="52"/>
      <c r="E164" s="53">
        <f>+'CALCULO TARIFAS CC '!$U$45</f>
        <v>0.82386810577067515</v>
      </c>
      <c r="F164" s="54">
        <f t="shared" si="12"/>
        <v>14.871700000000001</v>
      </c>
      <c r="G164" s="55">
        <f t="shared" si="13"/>
        <v>12.25</v>
      </c>
      <c r="H164" s="49" t="s">
        <v>276</v>
      </c>
      <c r="I164" s="38" t="s">
        <v>47</v>
      </c>
      <c r="J164" s="38">
        <v>14.8717051</v>
      </c>
      <c r="K164" s="38"/>
      <c r="L164" s="381"/>
      <c r="M164" s="268"/>
      <c r="N164" s="269"/>
      <c r="O164" s="269"/>
      <c r="P164" s="283"/>
      <c r="Q164" s="269"/>
      <c r="R164" s="269"/>
      <c r="S164" s="38"/>
      <c r="T164" s="38"/>
      <c r="U164" s="38"/>
      <c r="V164" s="38"/>
      <c r="W164" s="38"/>
      <c r="X164" s="38"/>
      <c r="Y164" s="38"/>
      <c r="Z164" s="38"/>
    </row>
    <row r="165" spans="1:26" s="255" customFormat="1" x14ac:dyDescent="0.25">
      <c r="A165" s="280">
        <f t="shared" si="11"/>
        <v>163</v>
      </c>
      <c r="B165" s="277"/>
      <c r="C165" s="52" t="str">
        <f t="shared" si="10"/>
        <v>6UFC_AGDCE</v>
      </c>
      <c r="D165" s="52"/>
      <c r="E165" s="53">
        <f>+'CALCULO TARIFAS CC '!$U$45</f>
        <v>0.82386810577067515</v>
      </c>
      <c r="F165" s="54">
        <f t="shared" ref="F165:F190" si="14">ROUND(J165,4)</f>
        <v>23.5152</v>
      </c>
      <c r="G165" s="55">
        <f t="shared" ref="G165:G190" si="15">+ROUND(F165*E165,2)</f>
        <v>19.37</v>
      </c>
      <c r="H165" s="49" t="s">
        <v>276</v>
      </c>
      <c r="I165" s="38" t="s">
        <v>647</v>
      </c>
      <c r="J165" s="38">
        <v>23.5151535</v>
      </c>
      <c r="K165" s="38"/>
      <c r="L165" s="381"/>
      <c r="M165" s="268"/>
      <c r="N165" s="269"/>
      <c r="O165" s="269"/>
      <c r="P165" s="283"/>
      <c r="Q165" s="269"/>
      <c r="R165" s="269"/>
      <c r="S165" s="38"/>
      <c r="T165" s="38"/>
      <c r="U165" s="38"/>
      <c r="V165" s="38"/>
      <c r="W165" s="38"/>
      <c r="X165" s="38"/>
      <c r="Y165" s="38"/>
      <c r="Z165" s="38"/>
    </row>
    <row r="166" spans="1:26" s="255" customFormat="1" x14ac:dyDescent="0.25">
      <c r="A166" s="280">
        <f t="shared" si="11"/>
        <v>164</v>
      </c>
      <c r="B166" s="277"/>
      <c r="C166" s="52" t="str">
        <f t="shared" si="10"/>
        <v>6UFC_BOLERA</v>
      </c>
      <c r="D166" s="52"/>
      <c r="E166" s="53">
        <f>+'CALCULO TARIFAS CC '!$U$45</f>
        <v>0.82386810577067515</v>
      </c>
      <c r="F166" s="54">
        <f t="shared" si="14"/>
        <v>27.207599999999999</v>
      </c>
      <c r="G166" s="55">
        <f t="shared" si="15"/>
        <v>22.42</v>
      </c>
      <c r="H166" s="49" t="s">
        <v>276</v>
      </c>
      <c r="I166" s="38" t="s">
        <v>744</v>
      </c>
      <c r="J166" s="38">
        <v>27.207645100000001</v>
      </c>
      <c r="K166" s="38"/>
      <c r="L166" s="381"/>
      <c r="M166" s="268"/>
      <c r="N166" s="269"/>
      <c r="O166" s="269"/>
      <c r="P166" s="283"/>
      <c r="Q166" s="269"/>
      <c r="R166" s="269"/>
      <c r="S166" s="38"/>
      <c r="T166" s="38"/>
      <c r="U166" s="38"/>
      <c r="V166" s="38"/>
      <c r="W166" s="38"/>
      <c r="X166" s="38"/>
      <c r="Y166" s="38"/>
      <c r="Z166" s="38"/>
    </row>
    <row r="167" spans="1:26" s="255" customFormat="1" x14ac:dyDescent="0.25">
      <c r="A167" s="280">
        <f t="shared" si="11"/>
        <v>165</v>
      </c>
      <c r="B167" s="277"/>
      <c r="C167" s="52" t="str">
        <f t="shared" si="10"/>
        <v>6UFC_CABIMA</v>
      </c>
      <c r="D167" s="52"/>
      <c r="E167" s="53">
        <f>+'CALCULO TARIFAS CC '!$U$45</f>
        <v>0.82386810577067515</v>
      </c>
      <c r="F167" s="54">
        <f t="shared" si="14"/>
        <v>17.4572</v>
      </c>
      <c r="G167" s="55">
        <f t="shared" si="15"/>
        <v>14.38</v>
      </c>
      <c r="H167" s="49" t="s">
        <v>276</v>
      </c>
      <c r="I167" s="38" t="s">
        <v>674</v>
      </c>
      <c r="J167" s="38">
        <v>17.457229600000002</v>
      </c>
      <c r="K167" s="38"/>
      <c r="L167" s="381"/>
      <c r="M167" s="268"/>
      <c r="N167" s="269"/>
      <c r="O167" s="269"/>
      <c r="P167" s="283"/>
      <c r="Q167" s="269"/>
      <c r="R167" s="269"/>
      <c r="S167" s="38"/>
      <c r="T167" s="38"/>
      <c r="U167" s="38"/>
      <c r="V167" s="38"/>
      <c r="W167" s="38"/>
      <c r="X167" s="38"/>
      <c r="Y167" s="38"/>
      <c r="Z167" s="38"/>
    </row>
    <row r="168" spans="1:26" s="255" customFormat="1" x14ac:dyDescent="0.25">
      <c r="A168" s="280">
        <f t="shared" si="11"/>
        <v>166</v>
      </c>
      <c r="B168" s="277"/>
      <c r="C168" s="52" t="str">
        <f t="shared" si="10"/>
        <v>6UFC_DORADO</v>
      </c>
      <c r="D168" s="52"/>
      <c r="E168" s="53">
        <f>+'CALCULO TARIFAS CC '!$U$45</f>
        <v>0.82386810577067515</v>
      </c>
      <c r="F168" s="54">
        <f t="shared" si="14"/>
        <v>42.8504</v>
      </c>
      <c r="G168" s="55">
        <f t="shared" si="15"/>
        <v>35.299999999999997</v>
      </c>
      <c r="H168" s="49" t="s">
        <v>276</v>
      </c>
      <c r="I168" s="38" t="s">
        <v>675</v>
      </c>
      <c r="J168" s="38">
        <v>42.850403900000003</v>
      </c>
      <c r="K168" s="38"/>
      <c r="L168" s="381"/>
      <c r="M168" s="268"/>
      <c r="N168" s="269"/>
      <c r="O168" s="269"/>
      <c r="P168" s="283"/>
      <c r="Q168" s="269"/>
      <c r="R168" s="269"/>
      <c r="S168" s="38"/>
      <c r="T168" s="38"/>
      <c r="U168" s="38"/>
      <c r="V168" s="38"/>
      <c r="W168" s="38"/>
      <c r="X168" s="38"/>
      <c r="Y168" s="38"/>
      <c r="Z168" s="38"/>
    </row>
    <row r="169" spans="1:26" s="255" customFormat="1" x14ac:dyDescent="0.25">
      <c r="A169" s="280">
        <f t="shared" si="11"/>
        <v>167</v>
      </c>
      <c r="B169" s="277"/>
      <c r="C169" s="52" t="str">
        <f t="shared" si="10"/>
        <v>6UFC_FUERTE</v>
      </c>
      <c r="D169" s="52"/>
      <c r="E169" s="53">
        <f>+'CALCULO TARIFAS CC '!$U$45</f>
        <v>0.82386810577067515</v>
      </c>
      <c r="F169" s="54">
        <f t="shared" si="14"/>
        <v>23.767700000000001</v>
      </c>
      <c r="G169" s="55">
        <f t="shared" si="15"/>
        <v>19.579999999999998</v>
      </c>
      <c r="H169" s="49" t="s">
        <v>276</v>
      </c>
      <c r="I169" s="38" t="s">
        <v>711</v>
      </c>
      <c r="J169" s="38">
        <v>23.767738999999999</v>
      </c>
      <c r="K169" s="38"/>
      <c r="L169" s="381"/>
      <c r="M169" s="268"/>
      <c r="N169" s="269"/>
      <c r="O169" s="269"/>
      <c r="P169" s="283"/>
      <c r="Q169" s="269"/>
      <c r="R169" s="269"/>
      <c r="S169" s="38"/>
      <c r="T169" s="38"/>
      <c r="U169" s="38"/>
      <c r="V169" s="38"/>
      <c r="W169" s="38"/>
      <c r="X169" s="38"/>
      <c r="Y169" s="38"/>
      <c r="Z169" s="38"/>
    </row>
    <row r="170" spans="1:26" s="255" customFormat="1" x14ac:dyDescent="0.25">
      <c r="A170" s="280">
        <f t="shared" si="11"/>
        <v>168</v>
      </c>
      <c r="B170" s="277"/>
      <c r="C170" s="52" t="str">
        <f t="shared" si="10"/>
        <v>6UFC_GRANEST</v>
      </c>
      <c r="D170" s="52"/>
      <c r="E170" s="53">
        <f>+'CALCULO TARIFAS CC '!$U$45</f>
        <v>0.82386810577067515</v>
      </c>
      <c r="F170" s="54">
        <f t="shared" si="14"/>
        <v>41.969799999999999</v>
      </c>
      <c r="G170" s="55">
        <f t="shared" si="15"/>
        <v>34.58</v>
      </c>
      <c r="H170" s="49" t="s">
        <v>276</v>
      </c>
      <c r="I170" s="38" t="s">
        <v>712</v>
      </c>
      <c r="J170" s="38">
        <v>41.9698177</v>
      </c>
      <c r="K170" s="38"/>
      <c r="L170" s="381"/>
      <c r="M170" s="268"/>
      <c r="N170" s="269"/>
      <c r="O170" s="269"/>
      <c r="P170" s="283"/>
      <c r="Q170" s="269"/>
      <c r="R170" s="269"/>
      <c r="S170" s="38"/>
      <c r="T170" s="38"/>
      <c r="U170" s="38"/>
      <c r="V170" s="38"/>
      <c r="W170" s="38"/>
      <c r="X170" s="38"/>
      <c r="Y170" s="38"/>
      <c r="Z170" s="38"/>
    </row>
    <row r="171" spans="1:26" s="255" customFormat="1" x14ac:dyDescent="0.25">
      <c r="A171" s="280">
        <f t="shared" si="11"/>
        <v>169</v>
      </c>
      <c r="B171" s="277"/>
      <c r="C171" s="52" t="str">
        <f t="shared" si="10"/>
        <v>6UFC_HINTER2</v>
      </c>
      <c r="D171" s="52"/>
      <c r="E171" s="53">
        <f>+'CALCULO TARIFAS CC '!$U$45</f>
        <v>0.82386810577067515</v>
      </c>
      <c r="F171" s="54">
        <f t="shared" si="14"/>
        <v>15.101699999999999</v>
      </c>
      <c r="G171" s="55">
        <f t="shared" si="15"/>
        <v>12.44</v>
      </c>
      <c r="H171" s="49" t="s">
        <v>276</v>
      </c>
      <c r="I171" s="38" t="s">
        <v>769</v>
      </c>
      <c r="J171" s="38">
        <v>15.1016654</v>
      </c>
      <c r="K171" s="38"/>
      <c r="L171" s="381"/>
      <c r="M171" s="268"/>
      <c r="N171" s="269"/>
      <c r="O171" s="269"/>
      <c r="P171" s="283"/>
      <c r="Q171" s="269"/>
      <c r="R171" s="269"/>
      <c r="S171" s="38"/>
      <c r="T171" s="38"/>
      <c r="U171" s="38"/>
      <c r="V171" s="38"/>
      <c r="W171" s="38"/>
      <c r="X171" s="38"/>
      <c r="Y171" s="38"/>
      <c r="Z171" s="38"/>
    </row>
    <row r="172" spans="1:26" s="255" customFormat="1" x14ac:dyDescent="0.25">
      <c r="A172" s="280">
        <f t="shared" si="11"/>
        <v>170</v>
      </c>
      <c r="B172" s="277"/>
      <c r="C172" s="52" t="str">
        <f t="shared" si="10"/>
        <v>6UFC_INTERN1</v>
      </c>
      <c r="D172" s="52"/>
      <c r="E172" s="53">
        <f>+'CALCULO TARIFAS CC '!$U$45</f>
        <v>0.82386810577067515</v>
      </c>
      <c r="F172" s="54">
        <f t="shared" si="14"/>
        <v>17.720700000000001</v>
      </c>
      <c r="G172" s="55">
        <f t="shared" si="15"/>
        <v>14.6</v>
      </c>
      <c r="H172" s="49" t="s">
        <v>276</v>
      </c>
      <c r="I172" s="38" t="s">
        <v>648</v>
      </c>
      <c r="J172" s="38">
        <v>17.7206738</v>
      </c>
      <c r="K172" s="38"/>
      <c r="L172" s="381"/>
      <c r="M172" s="268"/>
      <c r="N172" s="269"/>
      <c r="O172" s="269"/>
      <c r="P172" s="283"/>
      <c r="Q172" s="269"/>
      <c r="R172" s="269"/>
      <c r="S172" s="38"/>
      <c r="T172" s="38"/>
      <c r="U172" s="38"/>
      <c r="V172" s="38"/>
      <c r="W172" s="38"/>
      <c r="X172" s="38"/>
      <c r="Y172" s="38"/>
      <c r="Z172" s="38"/>
    </row>
    <row r="173" spans="1:26" s="255" customFormat="1" x14ac:dyDescent="0.25">
      <c r="A173" s="280">
        <f t="shared" si="11"/>
        <v>171</v>
      </c>
      <c r="B173" s="277"/>
      <c r="C173" s="52" t="str">
        <f t="shared" si="10"/>
        <v>6UFC_LADONA</v>
      </c>
      <c r="D173" s="52"/>
      <c r="E173" s="53">
        <f>+'CALCULO TARIFAS CC '!$U$45</f>
        <v>0.82386810577067515</v>
      </c>
      <c r="F173" s="54">
        <f t="shared" si="14"/>
        <v>40.257800000000003</v>
      </c>
      <c r="G173" s="55">
        <f t="shared" si="15"/>
        <v>33.17</v>
      </c>
      <c r="H173" s="49" t="s">
        <v>276</v>
      </c>
      <c r="I173" s="38" t="s">
        <v>676</v>
      </c>
      <c r="J173" s="38">
        <v>40.257797400000001</v>
      </c>
      <c r="K173" s="38"/>
      <c r="L173" s="381"/>
      <c r="M173" s="268"/>
      <c r="N173" s="269"/>
      <c r="O173" s="269"/>
      <c r="P173" s="283"/>
      <c r="Q173" s="269"/>
      <c r="R173" s="269"/>
      <c r="S173" s="38"/>
      <c r="T173" s="38"/>
      <c r="U173" s="38"/>
      <c r="V173" s="38"/>
      <c r="W173" s="38"/>
      <c r="X173" s="38"/>
      <c r="Y173" s="38"/>
      <c r="Z173" s="38"/>
    </row>
    <row r="174" spans="1:26" s="255" customFormat="1" x14ac:dyDescent="0.25">
      <c r="A174" s="280">
        <f t="shared" si="11"/>
        <v>172</v>
      </c>
      <c r="B174" s="277"/>
      <c r="C174" s="52" t="str">
        <f t="shared" si="10"/>
        <v>6UFC_LANDES</v>
      </c>
      <c r="D174" s="52"/>
      <c r="E174" s="53">
        <f>+'CALCULO TARIFAS CC '!$U$45</f>
        <v>0.82386810577067515</v>
      </c>
      <c r="F174" s="54">
        <f t="shared" si="14"/>
        <v>42.145299999999999</v>
      </c>
      <c r="G174" s="55">
        <f t="shared" si="15"/>
        <v>34.72</v>
      </c>
      <c r="H174" s="49" t="s">
        <v>276</v>
      </c>
      <c r="I174" s="38" t="s">
        <v>677</v>
      </c>
      <c r="J174" s="38">
        <v>42.145273199999998</v>
      </c>
      <c r="K174" s="38"/>
      <c r="L174" s="381"/>
      <c r="M174" s="268"/>
      <c r="N174" s="269"/>
      <c r="O174" s="269"/>
      <c r="P174" s="283"/>
      <c r="Q174" s="269"/>
      <c r="R174" s="269"/>
      <c r="S174" s="38"/>
      <c r="T174" s="38"/>
      <c r="U174" s="38"/>
      <c r="V174" s="38"/>
      <c r="W174" s="38"/>
      <c r="X174" s="38"/>
      <c r="Y174" s="38"/>
      <c r="Z174" s="38"/>
    </row>
    <row r="175" spans="1:26" s="255" customFormat="1" x14ac:dyDescent="0.25">
      <c r="A175" s="280">
        <f t="shared" si="11"/>
        <v>173</v>
      </c>
      <c r="B175" s="277"/>
      <c r="C175" s="52" t="str">
        <f t="shared" si="10"/>
        <v>6UFC_PUEBLO</v>
      </c>
      <c r="D175" s="52"/>
      <c r="E175" s="53">
        <f>+'CALCULO TARIFAS CC '!$U$45</f>
        <v>0.82386810577067515</v>
      </c>
      <c r="F175" s="54">
        <f t="shared" si="14"/>
        <v>28.603400000000001</v>
      </c>
      <c r="G175" s="55">
        <f t="shared" si="15"/>
        <v>23.57</v>
      </c>
      <c r="H175" s="49" t="s">
        <v>276</v>
      </c>
      <c r="I175" s="38" t="s">
        <v>678</v>
      </c>
      <c r="J175" s="38">
        <v>28.603437400000001</v>
      </c>
      <c r="K175" s="38"/>
      <c r="L175" s="381"/>
      <c r="M175" s="268"/>
      <c r="N175" s="269"/>
      <c r="O175" s="269"/>
      <c r="P175" s="283"/>
      <c r="Q175" s="269"/>
      <c r="R175" s="269"/>
      <c r="S175" s="38"/>
      <c r="T175" s="38"/>
      <c r="U175" s="38"/>
      <c r="V175" s="38"/>
      <c r="W175" s="38"/>
      <c r="X175" s="38"/>
      <c r="Y175" s="38"/>
      <c r="Z175" s="38"/>
    </row>
    <row r="176" spans="1:26" s="255" customFormat="1" x14ac:dyDescent="0.25">
      <c r="A176" s="280">
        <f t="shared" si="11"/>
        <v>174</v>
      </c>
      <c r="B176" s="277"/>
      <c r="C176" s="52" t="str">
        <f t="shared" si="10"/>
        <v>6UFC_PZATOC</v>
      </c>
      <c r="D176" s="52"/>
      <c r="E176" s="53">
        <f>+'CALCULO TARIFAS CC '!$U$45</f>
        <v>0.82386810577067515</v>
      </c>
      <c r="F176" s="54">
        <f t="shared" si="14"/>
        <v>27.112200000000001</v>
      </c>
      <c r="G176" s="55">
        <f t="shared" si="15"/>
        <v>22.34</v>
      </c>
      <c r="H176" s="49" t="s">
        <v>276</v>
      </c>
      <c r="I176" s="38" t="s">
        <v>679</v>
      </c>
      <c r="J176" s="38">
        <v>27.112242200000001</v>
      </c>
      <c r="K176" s="38"/>
      <c r="L176" s="381"/>
      <c r="M176" s="268"/>
      <c r="N176" s="269"/>
      <c r="O176" s="269"/>
      <c r="P176" s="283"/>
      <c r="Q176" s="269"/>
      <c r="R176" s="269"/>
      <c r="S176" s="38"/>
      <c r="T176" s="38"/>
      <c r="U176" s="38"/>
      <c r="V176" s="38"/>
      <c r="W176" s="38"/>
      <c r="X176" s="38"/>
      <c r="Y176" s="38"/>
      <c r="Z176" s="38"/>
    </row>
    <row r="177" spans="1:26" s="255" customFormat="1" x14ac:dyDescent="0.25">
      <c r="A177" s="280">
        <f t="shared" si="11"/>
        <v>175</v>
      </c>
      <c r="B177" s="277"/>
      <c r="C177" s="52" t="str">
        <f t="shared" si="10"/>
        <v>6UFEDUDOR</v>
      </c>
      <c r="D177" s="52"/>
      <c r="E177" s="53">
        <f>+'CALCULO TARIFAS CC '!$U$45</f>
        <v>0.82386810577067515</v>
      </c>
      <c r="F177" s="54">
        <f t="shared" si="14"/>
        <v>264.64280000000002</v>
      </c>
      <c r="G177" s="55">
        <f t="shared" si="15"/>
        <v>218.03</v>
      </c>
      <c r="H177" s="49" t="s">
        <v>276</v>
      </c>
      <c r="I177" s="38" t="s">
        <v>403</v>
      </c>
      <c r="J177" s="38">
        <v>264.64280819999999</v>
      </c>
      <c r="K177" s="38"/>
      <c r="L177" s="381"/>
      <c r="M177" s="268"/>
      <c r="N177" s="269"/>
      <c r="O177" s="269"/>
      <c r="P177" s="283"/>
      <c r="Q177" s="269"/>
      <c r="R177" s="269"/>
      <c r="S177" s="38"/>
      <c r="T177" s="38"/>
      <c r="U177" s="38"/>
      <c r="V177" s="38"/>
      <c r="W177" s="38"/>
      <c r="X177" s="38"/>
      <c r="Y177" s="38"/>
      <c r="Z177" s="38"/>
    </row>
    <row r="178" spans="1:26" s="255" customFormat="1" x14ac:dyDescent="0.25">
      <c r="A178" s="280">
        <f t="shared" si="11"/>
        <v>176</v>
      </c>
      <c r="B178" s="277"/>
      <c r="C178" s="52" t="str">
        <f t="shared" si="10"/>
        <v>6UFEDUM8</v>
      </c>
      <c r="D178" s="52"/>
      <c r="E178" s="53">
        <f>+'CALCULO TARIFAS CC '!$U$45</f>
        <v>0.82386810577067515</v>
      </c>
      <c r="F178" s="54">
        <f t="shared" si="14"/>
        <v>286.04599999999999</v>
      </c>
      <c r="G178" s="55">
        <f t="shared" si="15"/>
        <v>235.66</v>
      </c>
      <c r="H178" s="49" t="s">
        <v>276</v>
      </c>
      <c r="I178" s="38" t="s">
        <v>404</v>
      </c>
      <c r="J178" s="38">
        <v>286.04595979999999</v>
      </c>
      <c r="K178" s="38"/>
      <c r="L178" s="381"/>
      <c r="M178" s="268"/>
      <c r="N178" s="269"/>
      <c r="O178" s="269"/>
      <c r="P178" s="283"/>
      <c r="Q178" s="269"/>
      <c r="R178" s="269"/>
      <c r="S178" s="38"/>
      <c r="T178" s="38"/>
      <c r="U178" s="38"/>
      <c r="V178" s="38"/>
      <c r="W178" s="38"/>
      <c r="X178" s="38"/>
      <c r="Y178" s="38"/>
      <c r="Z178" s="38"/>
    </row>
    <row r="179" spans="1:26" s="255" customFormat="1" x14ac:dyDescent="0.25">
      <c r="A179" s="280">
        <f t="shared" si="11"/>
        <v>177</v>
      </c>
      <c r="B179" s="277"/>
      <c r="C179" s="52" t="str">
        <f t="shared" si="10"/>
        <v>6UFETV</v>
      </c>
      <c r="D179" s="52"/>
      <c r="E179" s="53">
        <f>+'CALCULO TARIFAS CC '!$U$45</f>
        <v>0.82386810577067515</v>
      </c>
      <c r="F179" s="54">
        <f t="shared" si="14"/>
        <v>268.95080000000002</v>
      </c>
      <c r="G179" s="55">
        <f t="shared" si="15"/>
        <v>221.58</v>
      </c>
      <c r="H179" s="49" t="s">
        <v>276</v>
      </c>
      <c r="I179" s="38" t="s">
        <v>680</v>
      </c>
      <c r="J179" s="38">
        <v>268.95080189999999</v>
      </c>
      <c r="K179" s="38"/>
      <c r="L179" s="381"/>
      <c r="M179" s="268"/>
      <c r="N179" s="269"/>
      <c r="O179" s="269"/>
      <c r="P179" s="283"/>
      <c r="Q179" s="269"/>
      <c r="R179" s="269"/>
      <c r="S179" s="38"/>
      <c r="T179" s="38"/>
      <c r="U179" s="38"/>
      <c r="V179" s="38"/>
      <c r="W179" s="38"/>
      <c r="X179" s="38"/>
      <c r="Y179" s="38"/>
      <c r="Z179" s="38"/>
    </row>
    <row r="180" spans="1:26" s="255" customFormat="1" x14ac:dyDescent="0.25">
      <c r="A180" s="280">
        <f t="shared" si="11"/>
        <v>178</v>
      </c>
      <c r="B180" s="277"/>
      <c r="C180" s="52" t="str">
        <f t="shared" si="10"/>
        <v>6UFGALERIA</v>
      </c>
      <c r="D180" s="52"/>
      <c r="E180" s="53">
        <f>+'CALCULO TARIFAS CC '!$U$45</f>
        <v>0.82386810577067515</v>
      </c>
      <c r="F180" s="54">
        <f t="shared" si="14"/>
        <v>10.2182</v>
      </c>
      <c r="G180" s="55">
        <f t="shared" si="15"/>
        <v>8.42</v>
      </c>
      <c r="H180" s="49" t="s">
        <v>276</v>
      </c>
      <c r="I180" s="38" t="s">
        <v>508</v>
      </c>
      <c r="J180" s="38">
        <v>10.2181652</v>
      </c>
      <c r="K180" s="38"/>
      <c r="L180" s="381"/>
      <c r="M180" s="268"/>
      <c r="N180" s="269"/>
      <c r="O180" s="269"/>
      <c r="P180" s="283"/>
      <c r="Q180" s="269"/>
      <c r="R180" s="269"/>
      <c r="S180" s="38"/>
      <c r="T180" s="38"/>
      <c r="U180" s="38"/>
      <c r="V180" s="38"/>
      <c r="W180" s="38"/>
      <c r="X180" s="38"/>
      <c r="Y180" s="38"/>
      <c r="Z180" s="38"/>
    </row>
    <row r="181" spans="1:26" s="255" customFormat="1" x14ac:dyDescent="0.25">
      <c r="A181" s="280">
        <f t="shared" si="11"/>
        <v>179</v>
      </c>
      <c r="B181" s="277"/>
      <c r="C181" s="52" t="str">
        <f t="shared" si="10"/>
        <v>6UFINCENT</v>
      </c>
      <c r="D181" s="52"/>
      <c r="E181" s="53">
        <f>+'CALCULO TARIFAS CC '!$U$45</f>
        <v>0.82386810577067515</v>
      </c>
      <c r="F181" s="54">
        <f t="shared" si="14"/>
        <v>200.34460000000001</v>
      </c>
      <c r="G181" s="55">
        <f t="shared" si="15"/>
        <v>165.06</v>
      </c>
      <c r="H181" s="49" t="s">
        <v>276</v>
      </c>
      <c r="I181" s="38" t="s">
        <v>509</v>
      </c>
      <c r="J181" s="38">
        <v>200.3445648</v>
      </c>
      <c r="K181" s="38"/>
      <c r="L181" s="381"/>
      <c r="M181" s="268"/>
      <c r="N181" s="269"/>
      <c r="O181" s="269"/>
      <c r="P181" s="283"/>
      <c r="Q181" s="269"/>
      <c r="R181" s="269"/>
      <c r="S181" s="38"/>
      <c r="T181" s="38"/>
      <c r="U181" s="38"/>
      <c r="V181" s="38"/>
      <c r="W181" s="38"/>
      <c r="X181" s="38"/>
      <c r="Y181" s="38"/>
      <c r="Z181" s="38"/>
    </row>
    <row r="182" spans="1:26" s="255" customFormat="1" x14ac:dyDescent="0.25">
      <c r="A182" s="280">
        <f t="shared" si="11"/>
        <v>180</v>
      </c>
      <c r="B182" s="277"/>
      <c r="C182" s="52" t="str">
        <f t="shared" si="10"/>
        <v>6UFMOTTA</v>
      </c>
      <c r="D182" s="52"/>
      <c r="E182" s="53">
        <f>+'CALCULO TARIFAS CC '!$U$45</f>
        <v>0.82386810577067515</v>
      </c>
      <c r="F182" s="54">
        <f t="shared" si="14"/>
        <v>107.8797</v>
      </c>
      <c r="G182" s="55">
        <f t="shared" si="15"/>
        <v>88.88</v>
      </c>
      <c r="H182" s="49" t="s">
        <v>276</v>
      </c>
      <c r="I182" s="38" t="s">
        <v>566</v>
      </c>
      <c r="J182" s="38">
        <v>107.87971570000001</v>
      </c>
      <c r="K182" s="38"/>
      <c r="L182" s="381"/>
      <c r="M182" s="268"/>
      <c r="N182" s="269"/>
      <c r="O182" s="269"/>
      <c r="P182" s="283"/>
      <c r="Q182" s="269"/>
      <c r="R182" s="269"/>
      <c r="S182" s="38"/>
      <c r="T182" s="38"/>
      <c r="U182" s="38"/>
      <c r="V182" s="38"/>
      <c r="W182" s="38"/>
      <c r="X182" s="38"/>
      <c r="Y182" s="38"/>
      <c r="Z182" s="38"/>
    </row>
    <row r="183" spans="1:26" s="255" customFormat="1" x14ac:dyDescent="0.25">
      <c r="A183" s="280">
        <f t="shared" si="11"/>
        <v>181</v>
      </c>
      <c r="B183" s="277"/>
      <c r="C183" s="52" t="str">
        <f t="shared" si="10"/>
        <v>6UFMPLAZ40</v>
      </c>
      <c r="D183" s="52"/>
      <c r="E183" s="53">
        <f>+'CALCULO TARIFAS CC '!$U$45</f>
        <v>0.82386810577067515</v>
      </c>
      <c r="F183" s="54">
        <f t="shared" si="14"/>
        <v>23.238800000000001</v>
      </c>
      <c r="G183" s="55">
        <f t="shared" si="15"/>
        <v>19.149999999999999</v>
      </c>
      <c r="H183" s="49" t="s">
        <v>276</v>
      </c>
      <c r="I183" s="38" t="s">
        <v>567</v>
      </c>
      <c r="J183" s="38">
        <v>23.238829899999999</v>
      </c>
      <c r="K183" s="38"/>
      <c r="L183" s="381"/>
      <c r="M183" s="268"/>
      <c r="N183" s="269"/>
      <c r="O183" s="269"/>
      <c r="P183" s="283"/>
      <c r="Q183" s="269"/>
      <c r="R183" s="269"/>
      <c r="S183" s="38"/>
      <c r="T183" s="38"/>
      <c r="U183" s="38"/>
      <c r="V183" s="38"/>
      <c r="W183" s="38"/>
      <c r="X183" s="38"/>
      <c r="Y183" s="38"/>
      <c r="Z183" s="38"/>
    </row>
    <row r="184" spans="1:26" s="255" customFormat="1" x14ac:dyDescent="0.25">
      <c r="A184" s="280">
        <f t="shared" si="11"/>
        <v>182</v>
      </c>
      <c r="B184" s="277"/>
      <c r="C184" s="52" t="str">
        <f t="shared" si="10"/>
        <v>6GFOUNTAIN</v>
      </c>
      <c r="D184" s="52"/>
      <c r="E184" s="53">
        <f>+'CALCULO TARIFAS CC '!$U$45</f>
        <v>0.82386810577067515</v>
      </c>
      <c r="F184" s="54">
        <f t="shared" si="14"/>
        <v>0.83120000000000005</v>
      </c>
      <c r="G184" s="55">
        <f t="shared" si="15"/>
        <v>0.68</v>
      </c>
      <c r="H184" s="49" t="s">
        <v>276</v>
      </c>
      <c r="I184" s="38" t="s">
        <v>802</v>
      </c>
      <c r="J184" s="38">
        <v>0.83124600000000004</v>
      </c>
      <c r="K184" s="38"/>
      <c r="L184" s="381"/>
      <c r="M184" s="268"/>
      <c r="N184" s="269"/>
      <c r="O184" s="269"/>
      <c r="P184" s="283"/>
      <c r="Q184" s="269"/>
      <c r="R184" s="269"/>
      <c r="S184" s="38"/>
      <c r="T184" s="38"/>
      <c r="U184" s="38"/>
      <c r="V184" s="38"/>
      <c r="W184" s="38"/>
      <c r="X184" s="38"/>
      <c r="Y184" s="38"/>
      <c r="Z184" s="38"/>
    </row>
    <row r="185" spans="1:26" s="255" customFormat="1" x14ac:dyDescent="0.25">
      <c r="A185" s="280">
        <f t="shared" si="11"/>
        <v>183</v>
      </c>
      <c r="B185" s="277"/>
      <c r="C185" s="52" t="str">
        <f t="shared" si="10"/>
        <v>6UFPARK28</v>
      </c>
      <c r="D185" s="52"/>
      <c r="E185" s="53">
        <f>+'CALCULO TARIFAS CC '!$U$45</f>
        <v>0.82386810577067515</v>
      </c>
      <c r="F185" s="54">
        <f t="shared" si="14"/>
        <v>73.428600000000003</v>
      </c>
      <c r="G185" s="55">
        <f t="shared" si="15"/>
        <v>60.5</v>
      </c>
      <c r="H185" s="49" t="s">
        <v>276</v>
      </c>
      <c r="I185" s="38" t="s">
        <v>520</v>
      </c>
      <c r="J185" s="38">
        <v>73.428601400000005</v>
      </c>
      <c r="K185" s="38"/>
      <c r="L185" s="381"/>
      <c r="M185" s="268"/>
      <c r="N185" s="269"/>
      <c r="O185" s="269"/>
      <c r="P185" s="283"/>
      <c r="Q185" s="269"/>
      <c r="R185" s="269"/>
      <c r="S185" s="38"/>
      <c r="T185" s="38"/>
      <c r="U185" s="38"/>
      <c r="V185" s="38"/>
      <c r="W185" s="38"/>
      <c r="X185" s="38"/>
      <c r="Y185" s="38"/>
      <c r="Z185" s="38"/>
    </row>
    <row r="186" spans="1:26" s="255" customFormat="1" x14ac:dyDescent="0.25">
      <c r="A186" s="280">
        <f t="shared" si="11"/>
        <v>184</v>
      </c>
      <c r="B186" s="277"/>
      <c r="C186" s="52" t="str">
        <f t="shared" si="10"/>
        <v>6UF_BIN90</v>
      </c>
      <c r="D186" s="52"/>
      <c r="E186" s="53">
        <f>+'CALCULO TARIFAS CC '!$U$45</f>
        <v>0.82386810577067515</v>
      </c>
      <c r="F186" s="54">
        <f t="shared" si="14"/>
        <v>29.374500000000001</v>
      </c>
      <c r="G186" s="55">
        <f t="shared" si="15"/>
        <v>24.2</v>
      </c>
      <c r="H186" s="49" t="s">
        <v>276</v>
      </c>
      <c r="I186" s="38" t="s">
        <v>349</v>
      </c>
      <c r="J186" s="38">
        <v>29.374470899999999</v>
      </c>
      <c r="K186" s="38"/>
      <c r="L186" s="381"/>
      <c r="M186" s="268"/>
      <c r="N186" s="269"/>
      <c r="O186" s="269"/>
      <c r="P186" s="283"/>
      <c r="Q186" s="269"/>
      <c r="R186" s="269"/>
      <c r="S186" s="38"/>
      <c r="T186" s="38"/>
      <c r="U186" s="38"/>
      <c r="V186" s="38"/>
      <c r="W186" s="38"/>
      <c r="X186" s="38"/>
      <c r="Y186" s="38"/>
      <c r="Z186" s="38"/>
    </row>
    <row r="187" spans="1:26" s="255" customFormat="1" x14ac:dyDescent="0.25">
      <c r="A187" s="280">
        <f t="shared" si="11"/>
        <v>185</v>
      </c>
      <c r="B187" s="277"/>
      <c r="C187" s="52" t="str">
        <f t="shared" si="10"/>
        <v>6UF_CARIBE</v>
      </c>
      <c r="D187" s="52"/>
      <c r="E187" s="53">
        <f>+'CALCULO TARIFAS CC '!$U$45</f>
        <v>0.82386810577067515</v>
      </c>
      <c r="F187" s="54">
        <f t="shared" si="14"/>
        <v>21.214700000000001</v>
      </c>
      <c r="G187" s="55">
        <f t="shared" si="15"/>
        <v>17.48</v>
      </c>
      <c r="H187" s="49" t="s">
        <v>276</v>
      </c>
      <c r="I187" s="38" t="s">
        <v>344</v>
      </c>
      <c r="J187" s="38">
        <v>21.214721399999998</v>
      </c>
      <c r="K187" s="38"/>
      <c r="L187" s="381"/>
      <c r="M187" s="268"/>
      <c r="N187" s="269"/>
      <c r="O187" s="269"/>
      <c r="P187" s="283"/>
      <c r="Q187" s="269"/>
      <c r="R187" s="269"/>
      <c r="S187" s="38"/>
      <c r="T187" s="38"/>
      <c r="U187" s="38"/>
      <c r="V187" s="38"/>
      <c r="W187" s="38"/>
      <c r="X187" s="38"/>
      <c r="Y187" s="38"/>
      <c r="Z187" s="38"/>
    </row>
    <row r="188" spans="1:26" s="255" customFormat="1" x14ac:dyDescent="0.25">
      <c r="A188" s="280">
        <f t="shared" si="11"/>
        <v>186</v>
      </c>
      <c r="B188" s="277"/>
      <c r="C188" s="52" t="str">
        <f t="shared" si="10"/>
        <v>6UF_CHITRE</v>
      </c>
      <c r="D188" s="52"/>
      <c r="E188" s="53">
        <f>+'CALCULO TARIFAS CC '!$U$45</f>
        <v>0.82386810577067515</v>
      </c>
      <c r="F188" s="54">
        <f t="shared" si="14"/>
        <v>19.6188</v>
      </c>
      <c r="G188" s="55">
        <f t="shared" si="15"/>
        <v>16.16</v>
      </c>
      <c r="H188" s="49" t="s">
        <v>276</v>
      </c>
      <c r="I188" s="38" t="s">
        <v>346</v>
      </c>
      <c r="J188" s="38">
        <v>19.618817400000001</v>
      </c>
      <c r="K188" s="38"/>
      <c r="L188" s="381"/>
      <c r="M188" s="268"/>
      <c r="N188" s="269"/>
      <c r="O188" s="269"/>
      <c r="P188" s="283"/>
      <c r="Q188" s="269"/>
      <c r="R188" s="269"/>
      <c r="S188" s="38"/>
      <c r="T188" s="38"/>
      <c r="U188" s="38"/>
      <c r="V188" s="38"/>
      <c r="W188" s="38"/>
      <c r="X188" s="38"/>
      <c r="Y188" s="38"/>
      <c r="Z188" s="38"/>
    </row>
    <row r="189" spans="1:26" s="255" customFormat="1" x14ac:dyDescent="0.25">
      <c r="A189" s="280">
        <f t="shared" si="11"/>
        <v>187</v>
      </c>
      <c r="B189" s="277"/>
      <c r="C189" s="52" t="str">
        <f t="shared" si="10"/>
        <v>6UF_CHORRE</v>
      </c>
      <c r="D189" s="52"/>
      <c r="E189" s="53">
        <f>+'CALCULO TARIFAS CC '!$U$45</f>
        <v>0.82386810577067515</v>
      </c>
      <c r="F189" s="54">
        <f t="shared" si="14"/>
        <v>36.616399999999999</v>
      </c>
      <c r="G189" s="55">
        <f t="shared" si="15"/>
        <v>30.17</v>
      </c>
      <c r="H189" s="49" t="s">
        <v>276</v>
      </c>
      <c r="I189" s="38" t="s">
        <v>351</v>
      </c>
      <c r="J189" s="38">
        <v>36.616363800000002</v>
      </c>
      <c r="K189" s="38"/>
      <c r="L189" s="381"/>
      <c r="M189" s="268"/>
      <c r="N189" s="269"/>
      <c r="O189" s="269"/>
      <c r="P189" s="283"/>
      <c r="Q189" s="269"/>
      <c r="R189" s="269"/>
      <c r="S189" s="38"/>
      <c r="T189" s="38"/>
      <c r="U189" s="38"/>
      <c r="V189" s="38"/>
      <c r="W189" s="38"/>
      <c r="X189" s="38"/>
      <c r="Y189" s="38"/>
      <c r="Z189" s="38"/>
    </row>
    <row r="190" spans="1:26" s="255" customFormat="1" x14ac:dyDescent="0.25">
      <c r="A190" s="280">
        <f t="shared" si="11"/>
        <v>188</v>
      </c>
      <c r="B190" s="277"/>
      <c r="C190" s="52" t="str">
        <f t="shared" si="10"/>
        <v>6UF_MILLER</v>
      </c>
      <c r="D190" s="52"/>
      <c r="E190" s="53">
        <f>+'CALCULO TARIFAS CC '!$U$45</f>
        <v>0.82386810577067515</v>
      </c>
      <c r="F190" s="54">
        <f t="shared" si="14"/>
        <v>25.3719</v>
      </c>
      <c r="G190" s="55">
        <f t="shared" si="15"/>
        <v>20.9</v>
      </c>
      <c r="H190" s="49" t="s">
        <v>276</v>
      </c>
      <c r="I190" s="38" t="s">
        <v>345</v>
      </c>
      <c r="J190" s="38">
        <v>25.3719325</v>
      </c>
      <c r="K190" s="38"/>
      <c r="L190" s="381"/>
      <c r="M190" s="268"/>
      <c r="N190" s="269"/>
      <c r="O190" s="269"/>
      <c r="P190" s="283"/>
      <c r="Q190" s="269"/>
      <c r="R190" s="269"/>
      <c r="S190" s="38"/>
      <c r="T190" s="38"/>
      <c r="U190" s="38"/>
      <c r="V190" s="38"/>
      <c r="W190" s="38"/>
      <c r="X190" s="38"/>
      <c r="Y190" s="38"/>
      <c r="Z190" s="38"/>
    </row>
    <row r="191" spans="1:26" s="205" customFormat="1" x14ac:dyDescent="0.25">
      <c r="A191" s="280">
        <f t="shared" si="11"/>
        <v>189</v>
      </c>
      <c r="B191" s="277"/>
      <c r="C191" s="52" t="str">
        <f t="shared" si="10"/>
        <v>6UF_PNOME</v>
      </c>
      <c r="D191" s="52"/>
      <c r="E191" s="53">
        <f>+'CALCULO TARIFAS CC '!$U$45</f>
        <v>0.82386810577067515</v>
      </c>
      <c r="F191" s="54">
        <f t="shared" si="12"/>
        <v>17.082100000000001</v>
      </c>
      <c r="G191" s="55">
        <f t="shared" si="13"/>
        <v>14.07</v>
      </c>
      <c r="H191" s="49" t="s">
        <v>276</v>
      </c>
      <c r="I191" s="38" t="s">
        <v>459</v>
      </c>
      <c r="J191" s="38">
        <v>17.082137800000002</v>
      </c>
      <c r="K191" s="38"/>
      <c r="L191" s="381"/>
      <c r="M191" s="268"/>
      <c r="N191" s="269"/>
      <c r="O191" s="269"/>
      <c r="P191" s="283"/>
      <c r="Q191" s="269"/>
      <c r="R191" s="269"/>
      <c r="S191" s="38"/>
      <c r="T191" s="38"/>
      <c r="U191" s="38"/>
      <c r="V191" s="38"/>
      <c r="W191" s="38"/>
      <c r="X191" s="38"/>
      <c r="Y191" s="38"/>
      <c r="Z191" s="38"/>
    </row>
    <row r="192" spans="1:26" s="205" customFormat="1" x14ac:dyDescent="0.25">
      <c r="A192" s="280">
        <f t="shared" si="11"/>
        <v>190</v>
      </c>
      <c r="B192" s="277"/>
      <c r="C192" s="52" t="str">
        <f t="shared" si="10"/>
        <v>6UF_STGO</v>
      </c>
      <c r="D192" s="52"/>
      <c r="E192" s="53">
        <f>+'CALCULO TARIFAS CC '!$U$45</f>
        <v>0.82386810577067515</v>
      </c>
      <c r="F192" s="54">
        <f t="shared" si="12"/>
        <v>20.240500000000001</v>
      </c>
      <c r="G192" s="55">
        <f t="shared" si="13"/>
        <v>16.68</v>
      </c>
      <c r="H192" s="49" t="s">
        <v>276</v>
      </c>
      <c r="I192" s="38" t="s">
        <v>347</v>
      </c>
      <c r="J192" s="38">
        <v>20.240519299999999</v>
      </c>
      <c r="K192" s="38"/>
      <c r="L192" s="381"/>
      <c r="M192" s="268"/>
      <c r="N192" s="269"/>
      <c r="O192" s="269"/>
      <c r="P192" s="283"/>
      <c r="Q192" s="269"/>
      <c r="R192" s="269"/>
      <c r="S192" s="38"/>
      <c r="T192" s="38"/>
      <c r="U192" s="38"/>
      <c r="V192" s="38"/>
      <c r="W192" s="38"/>
      <c r="X192" s="38"/>
      <c r="Y192" s="38"/>
      <c r="Z192" s="38"/>
    </row>
    <row r="193" spans="1:26" s="205" customFormat="1" x14ac:dyDescent="0.25">
      <c r="A193" s="280">
        <f t="shared" si="11"/>
        <v>191</v>
      </c>
      <c r="B193" s="277"/>
      <c r="C193" s="52" t="str">
        <f t="shared" si="10"/>
        <v>6UF_VLEGRE</v>
      </c>
      <c r="D193" s="52"/>
      <c r="E193" s="53">
        <f>+'CALCULO TARIFAS CC '!$U$45</f>
        <v>0.82386810577067515</v>
      </c>
      <c r="F193" s="54">
        <f t="shared" si="12"/>
        <v>13.072800000000001</v>
      </c>
      <c r="G193" s="55">
        <f t="shared" si="13"/>
        <v>10.77</v>
      </c>
      <c r="H193" s="49" t="s">
        <v>276</v>
      </c>
      <c r="I193" s="38" t="s">
        <v>348</v>
      </c>
      <c r="J193" s="38">
        <v>13.0728379</v>
      </c>
      <c r="K193" s="38"/>
      <c r="L193" s="381"/>
      <c r="M193" s="268"/>
      <c r="N193" s="269"/>
      <c r="O193" s="269"/>
      <c r="P193" s="283"/>
      <c r="Q193" s="269"/>
      <c r="R193" s="269"/>
      <c r="S193" s="38"/>
      <c r="T193" s="38"/>
      <c r="U193" s="38"/>
      <c r="V193" s="38"/>
      <c r="W193" s="38"/>
      <c r="X193" s="38"/>
      <c r="Y193" s="38"/>
      <c r="Z193" s="38"/>
    </row>
    <row r="194" spans="1:26" s="205" customFormat="1" x14ac:dyDescent="0.25">
      <c r="A194" s="280">
        <f t="shared" si="11"/>
        <v>192</v>
      </c>
      <c r="B194" s="277"/>
      <c r="C194" s="52" t="str">
        <f t="shared" si="10"/>
        <v>6UF_ZAITA</v>
      </c>
      <c r="D194" s="52"/>
      <c r="E194" s="53">
        <f>+'CALCULO TARIFAS CC '!$U$45</f>
        <v>0.82386810577067515</v>
      </c>
      <c r="F194" s="54">
        <f t="shared" si="12"/>
        <v>21.497499999999999</v>
      </c>
      <c r="G194" s="55">
        <f t="shared" si="13"/>
        <v>17.71</v>
      </c>
      <c r="H194" s="49" t="s">
        <v>276</v>
      </c>
      <c r="I194" s="38" t="s">
        <v>568</v>
      </c>
      <c r="J194" s="38">
        <v>21.497495700000002</v>
      </c>
      <c r="K194" s="38"/>
      <c r="L194" s="381"/>
      <c r="M194" s="268"/>
      <c r="N194" s="269"/>
      <c r="O194" s="269"/>
      <c r="P194" s="283"/>
      <c r="Q194" s="269"/>
      <c r="R194" s="269"/>
      <c r="S194" s="38"/>
      <c r="T194" s="38"/>
      <c r="U194" s="38"/>
      <c r="V194" s="38"/>
      <c r="W194" s="38"/>
      <c r="X194" s="38"/>
      <c r="Y194" s="38"/>
      <c r="Z194" s="38"/>
    </row>
    <row r="195" spans="1:26" s="205" customFormat="1" x14ac:dyDescent="0.25">
      <c r="A195" s="280">
        <f t="shared" si="11"/>
        <v>193</v>
      </c>
      <c r="B195" s="277"/>
      <c r="C195" s="52" t="str">
        <f t="shared" ref="C195:C258" si="16">I195</f>
        <v>6UGAMBOA</v>
      </c>
      <c r="D195" s="52"/>
      <c r="E195" s="53">
        <f>+'CALCULO TARIFAS CC '!$U$45</f>
        <v>0.82386810577067515</v>
      </c>
      <c r="F195" s="54">
        <f t="shared" si="12"/>
        <v>132.11330000000001</v>
      </c>
      <c r="G195" s="55">
        <f t="shared" si="13"/>
        <v>108.84</v>
      </c>
      <c r="H195" s="49" t="s">
        <v>276</v>
      </c>
      <c r="I195" s="38" t="s">
        <v>493</v>
      </c>
      <c r="J195" s="38">
        <v>132.11329420000001</v>
      </c>
      <c r="K195" s="38"/>
      <c r="L195" s="381"/>
      <c r="M195" s="268"/>
      <c r="N195" s="269"/>
      <c r="O195" s="269"/>
      <c r="P195" s="283"/>
      <c r="Q195" s="269"/>
      <c r="R195" s="269"/>
      <c r="S195" s="38"/>
      <c r="T195" s="38"/>
      <c r="U195" s="38"/>
      <c r="V195" s="38"/>
      <c r="W195" s="38"/>
      <c r="X195" s="38"/>
      <c r="Y195" s="38"/>
      <c r="Z195" s="38"/>
    </row>
    <row r="196" spans="1:26" s="205" customFormat="1" x14ac:dyDescent="0.25">
      <c r="A196" s="280">
        <f t="shared" si="11"/>
        <v>194</v>
      </c>
      <c r="B196" s="277"/>
      <c r="C196" s="52" t="str">
        <f t="shared" si="16"/>
        <v>6GGANA</v>
      </c>
      <c r="D196" s="52"/>
      <c r="E196" s="53">
        <f>+'CALCULO TARIFAS CC '!$U$45</f>
        <v>0.82386810577067515</v>
      </c>
      <c r="F196" s="54">
        <f t="shared" si="12"/>
        <v>80.229900000000001</v>
      </c>
      <c r="G196" s="55">
        <f t="shared" si="13"/>
        <v>66.099999999999994</v>
      </c>
      <c r="H196" s="49" t="s">
        <v>276</v>
      </c>
      <c r="I196" s="38" t="s">
        <v>770</v>
      </c>
      <c r="J196" s="38">
        <v>80.229938300000001</v>
      </c>
      <c r="K196" s="38"/>
      <c r="L196" s="381"/>
      <c r="M196" s="268"/>
      <c r="N196" s="269"/>
      <c r="O196" s="269"/>
      <c r="P196" s="283"/>
      <c r="Q196" s="269"/>
      <c r="R196" s="269"/>
      <c r="S196" s="38"/>
      <c r="T196" s="38"/>
      <c r="U196" s="38"/>
      <c r="V196" s="38"/>
      <c r="W196" s="38"/>
      <c r="X196" s="38"/>
      <c r="Y196" s="38"/>
      <c r="Z196" s="38"/>
    </row>
    <row r="197" spans="1:26" s="205" customFormat="1" x14ac:dyDescent="0.25">
      <c r="A197" s="280">
        <f t="shared" ref="A197:A260" si="17">A196+1</f>
        <v>195</v>
      </c>
      <c r="B197" s="277"/>
      <c r="C197" s="52" t="str">
        <f t="shared" si="16"/>
        <v>6GGENA</v>
      </c>
      <c r="D197" s="52"/>
      <c r="E197" s="53">
        <f>+'CALCULO TARIFAS CC '!$U$45</f>
        <v>0.82386810577067515</v>
      </c>
      <c r="F197" s="54">
        <f t="shared" si="12"/>
        <v>11.6297</v>
      </c>
      <c r="G197" s="55">
        <f t="shared" si="13"/>
        <v>9.58</v>
      </c>
      <c r="H197" s="49" t="s">
        <v>276</v>
      </c>
      <c r="I197" s="38" t="s">
        <v>28</v>
      </c>
      <c r="J197" s="38">
        <v>11.629661</v>
      </c>
      <c r="K197" s="38"/>
      <c r="L197" s="381"/>
      <c r="M197" s="268"/>
      <c r="N197" s="269"/>
      <c r="O197" s="269"/>
      <c r="P197" s="283"/>
      <c r="Q197" s="269"/>
      <c r="R197" s="269"/>
      <c r="S197" s="38"/>
      <c r="T197" s="38"/>
      <c r="U197" s="38"/>
      <c r="V197" s="38"/>
      <c r="W197" s="38"/>
      <c r="X197" s="38"/>
      <c r="Y197" s="38"/>
      <c r="Z197" s="38"/>
    </row>
    <row r="198" spans="1:26" s="205" customFormat="1" x14ac:dyDescent="0.25">
      <c r="A198" s="280">
        <f t="shared" si="17"/>
        <v>196</v>
      </c>
      <c r="B198" s="277"/>
      <c r="C198" s="52" t="str">
        <f t="shared" si="16"/>
        <v>6GGENISA</v>
      </c>
      <c r="D198" s="52"/>
      <c r="E198" s="53">
        <f>+'CALCULO TARIFAS CC '!$U$45</f>
        <v>0.82386810577067515</v>
      </c>
      <c r="F198" s="54">
        <f t="shared" si="12"/>
        <v>6.8000000000000005E-2</v>
      </c>
      <c r="G198" s="55">
        <f t="shared" si="13"/>
        <v>0.06</v>
      </c>
      <c r="H198" s="49" t="s">
        <v>276</v>
      </c>
      <c r="I198" s="38" t="s">
        <v>824</v>
      </c>
      <c r="J198" s="38">
        <v>6.7959000000000006E-2</v>
      </c>
      <c r="K198" s="38"/>
      <c r="L198" s="381"/>
      <c r="M198" s="268"/>
      <c r="N198" s="269"/>
      <c r="O198" s="269"/>
      <c r="P198" s="283"/>
      <c r="Q198" s="269"/>
      <c r="R198" s="269"/>
      <c r="S198" s="38"/>
      <c r="T198" s="38"/>
      <c r="U198" s="38"/>
      <c r="V198" s="38"/>
      <c r="W198" s="38"/>
      <c r="X198" s="38"/>
      <c r="Y198" s="38"/>
      <c r="Z198" s="38"/>
    </row>
    <row r="199" spans="1:26" s="205" customFormat="1" x14ac:dyDescent="0.25">
      <c r="A199" s="280">
        <f t="shared" si="17"/>
        <v>197</v>
      </c>
      <c r="B199" s="277"/>
      <c r="C199" s="52" t="str">
        <f t="shared" si="16"/>
        <v>6GGENPED</v>
      </c>
      <c r="D199" s="52"/>
      <c r="E199" s="53">
        <f>+'CALCULO TARIFAS CC '!$U$45</f>
        <v>0.82386810577067515</v>
      </c>
      <c r="F199" s="54">
        <f t="shared" si="12"/>
        <v>8.2000000000000003E-2</v>
      </c>
      <c r="G199" s="55">
        <f t="shared" si="13"/>
        <v>7.0000000000000007E-2</v>
      </c>
      <c r="H199" s="49" t="s">
        <v>276</v>
      </c>
      <c r="I199" s="38" t="s">
        <v>29</v>
      </c>
      <c r="J199" s="38">
        <v>8.1986000000000003E-2</v>
      </c>
      <c r="K199" s="38"/>
      <c r="L199" s="381"/>
      <c r="M199" s="268"/>
      <c r="N199" s="269"/>
      <c r="O199" s="269"/>
      <c r="P199" s="283"/>
      <c r="Q199" s="269"/>
      <c r="R199" s="269"/>
      <c r="S199" s="38"/>
      <c r="T199" s="38"/>
      <c r="U199" s="38"/>
      <c r="V199" s="38"/>
      <c r="W199" s="38"/>
      <c r="X199" s="38"/>
      <c r="Y199" s="38"/>
      <c r="Z199" s="38"/>
    </row>
    <row r="200" spans="1:26" s="205" customFormat="1" x14ac:dyDescent="0.25">
      <c r="A200" s="280">
        <f t="shared" si="17"/>
        <v>198</v>
      </c>
      <c r="B200" s="277"/>
      <c r="C200" s="52" t="str">
        <f t="shared" si="16"/>
        <v>6UGLION</v>
      </c>
      <c r="D200" s="52"/>
      <c r="E200" s="53">
        <f>+'CALCULO TARIFAS CC '!$U$45</f>
        <v>0.82386810577067515</v>
      </c>
      <c r="F200" s="54">
        <f t="shared" si="12"/>
        <v>112.2034</v>
      </c>
      <c r="G200" s="55">
        <f t="shared" si="13"/>
        <v>92.44</v>
      </c>
      <c r="H200" s="49" t="s">
        <v>276</v>
      </c>
      <c r="I200" s="38" t="s">
        <v>436</v>
      </c>
      <c r="J200" s="38">
        <v>112.20339079999999</v>
      </c>
      <c r="K200" s="38"/>
      <c r="L200" s="381"/>
      <c r="M200" s="268"/>
      <c r="N200" s="269"/>
      <c r="O200" s="269"/>
      <c r="P200" s="283"/>
      <c r="Q200" s="269"/>
      <c r="R200" s="269"/>
      <c r="S200" s="38"/>
      <c r="T200" s="38"/>
      <c r="U200" s="38"/>
      <c r="V200" s="38"/>
      <c r="W200" s="38"/>
      <c r="X200" s="38"/>
      <c r="Y200" s="38"/>
      <c r="Z200" s="38"/>
    </row>
    <row r="201" spans="1:26" s="205" customFormat="1" x14ac:dyDescent="0.25">
      <c r="A201" s="280">
        <f t="shared" si="17"/>
        <v>199</v>
      </c>
      <c r="B201" s="277"/>
      <c r="C201" s="52" t="str">
        <f t="shared" si="16"/>
        <v>6UGMILLS</v>
      </c>
      <c r="D201" s="52"/>
      <c r="E201" s="53">
        <f>+'CALCULO TARIFAS CC '!$U$45</f>
        <v>0.82386810577067515</v>
      </c>
      <c r="F201" s="54">
        <f t="shared" si="12"/>
        <v>440.32389999999998</v>
      </c>
      <c r="G201" s="55">
        <f t="shared" si="13"/>
        <v>362.77</v>
      </c>
      <c r="H201" s="49" t="s">
        <v>276</v>
      </c>
      <c r="I201" s="38" t="s">
        <v>48</v>
      </c>
      <c r="J201" s="38">
        <v>440.3239044</v>
      </c>
      <c r="K201" s="38"/>
      <c r="L201" s="381"/>
      <c r="M201" s="268"/>
      <c r="N201" s="269"/>
      <c r="O201" s="269"/>
      <c r="P201" s="283"/>
      <c r="Q201" s="269"/>
      <c r="R201" s="269"/>
      <c r="S201" s="38"/>
      <c r="T201" s="38"/>
      <c r="U201" s="38"/>
      <c r="V201" s="38"/>
      <c r="W201" s="38"/>
      <c r="X201" s="38"/>
      <c r="Y201" s="38"/>
      <c r="Z201" s="38"/>
    </row>
    <row r="202" spans="1:26" s="205" customFormat="1" x14ac:dyDescent="0.25">
      <c r="A202" s="280">
        <f t="shared" si="17"/>
        <v>200</v>
      </c>
      <c r="B202" s="277"/>
      <c r="C202" s="52" t="str">
        <f t="shared" si="16"/>
        <v>6UGPH_DORABK</v>
      </c>
      <c r="D202" s="52"/>
      <c r="E202" s="53">
        <f>+'CALCULO TARIFAS CC '!$U$45</f>
        <v>0.82386810577067515</v>
      </c>
      <c r="F202" s="54">
        <f t="shared" si="12"/>
        <v>4.4432</v>
      </c>
      <c r="G202" s="55">
        <f t="shared" si="13"/>
        <v>3.66</v>
      </c>
      <c r="H202" s="49" t="s">
        <v>276</v>
      </c>
      <c r="I202" s="38" t="s">
        <v>681</v>
      </c>
      <c r="J202" s="38">
        <v>4.4431554999999996</v>
      </c>
      <c r="K202" s="38"/>
      <c r="L202" s="381"/>
      <c r="M202" s="268"/>
      <c r="N202" s="269"/>
      <c r="O202" s="269"/>
      <c r="P202" s="283"/>
      <c r="Q202" s="269"/>
      <c r="R202" s="269"/>
      <c r="S202" s="38"/>
      <c r="T202" s="38"/>
      <c r="U202" s="38"/>
      <c r="V202" s="38"/>
      <c r="W202" s="38"/>
      <c r="X202" s="38"/>
      <c r="Y202" s="38"/>
      <c r="Z202" s="38"/>
    </row>
    <row r="203" spans="1:26" s="205" customFormat="1" x14ac:dyDescent="0.25">
      <c r="A203" s="280">
        <f t="shared" si="17"/>
        <v>201</v>
      </c>
      <c r="B203" s="277"/>
      <c r="C203" s="52" t="str">
        <f t="shared" si="16"/>
        <v>6UGPH_DORLAN</v>
      </c>
      <c r="D203" s="52"/>
      <c r="E203" s="53">
        <f>+'CALCULO TARIFAS CC '!$U$45</f>
        <v>0.82386810577067515</v>
      </c>
      <c r="F203" s="54">
        <f t="shared" si="12"/>
        <v>2.827</v>
      </c>
      <c r="G203" s="55">
        <f t="shared" si="13"/>
        <v>2.33</v>
      </c>
      <c r="H203" s="49" t="s">
        <v>276</v>
      </c>
      <c r="I203" s="38" t="s">
        <v>682</v>
      </c>
      <c r="J203" s="38">
        <v>2.8270385999999998</v>
      </c>
      <c r="K203" s="38"/>
      <c r="L203" s="381"/>
      <c r="M203" s="268"/>
      <c r="N203" s="269"/>
      <c r="O203" s="269"/>
      <c r="P203" s="283"/>
      <c r="Q203" s="269"/>
      <c r="R203" s="269"/>
      <c r="S203" s="38"/>
      <c r="T203" s="38"/>
      <c r="U203" s="38"/>
      <c r="V203" s="38"/>
      <c r="W203" s="38"/>
      <c r="X203" s="38"/>
      <c r="Y203" s="38"/>
      <c r="Z203" s="38"/>
    </row>
    <row r="204" spans="1:26" s="205" customFormat="1" x14ac:dyDescent="0.25">
      <c r="A204" s="280">
        <f t="shared" si="17"/>
        <v>202</v>
      </c>
      <c r="B204" s="277"/>
      <c r="C204" s="52" t="str">
        <f t="shared" si="16"/>
        <v>6UGPH_SAKSDO</v>
      </c>
      <c r="D204" s="52"/>
      <c r="E204" s="53">
        <f>+'CALCULO TARIFAS CC '!$U$45</f>
        <v>0.82386810577067515</v>
      </c>
      <c r="F204" s="54">
        <f t="shared" si="12"/>
        <v>4.2465999999999999</v>
      </c>
      <c r="G204" s="55">
        <f t="shared" si="13"/>
        <v>3.5</v>
      </c>
      <c r="H204" s="49" t="s">
        <v>276</v>
      </c>
      <c r="I204" s="38" t="s">
        <v>771</v>
      </c>
      <c r="J204" s="38">
        <v>4.2466068999999997</v>
      </c>
      <c r="K204" s="38"/>
      <c r="L204" s="381"/>
      <c r="M204" s="268"/>
      <c r="N204" s="269"/>
      <c r="O204" s="269"/>
      <c r="P204" s="283"/>
      <c r="Q204" s="269"/>
      <c r="R204" s="269"/>
      <c r="S204" s="38"/>
      <c r="T204" s="38"/>
      <c r="U204" s="38"/>
      <c r="V204" s="38"/>
      <c r="W204" s="38"/>
      <c r="X204" s="38"/>
      <c r="Y204" s="38"/>
      <c r="Z204" s="38"/>
    </row>
    <row r="205" spans="1:26" s="205" customFormat="1" x14ac:dyDescent="0.25">
      <c r="A205" s="280">
        <f t="shared" si="17"/>
        <v>203</v>
      </c>
      <c r="B205" s="277"/>
      <c r="C205" s="52" t="str">
        <f t="shared" si="16"/>
        <v>6UGPH_SAKSGO</v>
      </c>
      <c r="D205" s="52"/>
      <c r="E205" s="53">
        <f>+'CALCULO TARIFAS CC '!$U$45</f>
        <v>0.82386810577067515</v>
      </c>
      <c r="F205" s="54">
        <f t="shared" si="12"/>
        <v>2.8628</v>
      </c>
      <c r="G205" s="55">
        <f t="shared" si="13"/>
        <v>2.36</v>
      </c>
      <c r="H205" s="49" t="s">
        <v>276</v>
      </c>
      <c r="I205" s="38" t="s">
        <v>831</v>
      </c>
      <c r="J205" s="38">
        <v>2.8628060999999998</v>
      </c>
      <c r="K205" s="38"/>
      <c r="L205" s="381"/>
      <c r="M205" s="268"/>
      <c r="N205" s="269"/>
      <c r="O205" s="269"/>
      <c r="P205" s="283"/>
      <c r="Q205" s="269"/>
      <c r="R205" s="269"/>
      <c r="S205" s="38"/>
      <c r="T205" s="38"/>
      <c r="U205" s="38"/>
      <c r="V205" s="38"/>
      <c r="W205" s="38"/>
      <c r="X205" s="38"/>
      <c r="Y205" s="38"/>
      <c r="Z205" s="38"/>
    </row>
    <row r="206" spans="1:26" s="205" customFormat="1" x14ac:dyDescent="0.25">
      <c r="A206" s="280">
        <f t="shared" si="17"/>
        <v>204</v>
      </c>
      <c r="B206" s="277"/>
      <c r="C206" s="52" t="str">
        <f t="shared" si="16"/>
        <v>6UGPH_SAKSLP</v>
      </c>
      <c r="D206" s="52"/>
      <c r="E206" s="53">
        <f>+'CALCULO TARIFAS CC '!$U$45</f>
        <v>0.82386810577067515</v>
      </c>
      <c r="F206" s="54">
        <f t="shared" si="12"/>
        <v>2.7094999999999998</v>
      </c>
      <c r="G206" s="55">
        <f t="shared" si="13"/>
        <v>2.23</v>
      </c>
      <c r="H206" s="49" t="s">
        <v>276</v>
      </c>
      <c r="I206" s="38" t="s">
        <v>683</v>
      </c>
      <c r="J206" s="38">
        <v>2.7094699000000002</v>
      </c>
      <c r="K206" s="38"/>
      <c r="L206" s="381"/>
      <c r="M206" s="268"/>
      <c r="N206" s="269"/>
      <c r="O206" s="269"/>
      <c r="P206" s="283"/>
      <c r="Q206" s="269"/>
      <c r="R206" s="269"/>
      <c r="S206" s="38"/>
      <c r="T206" s="38"/>
      <c r="U206" s="38"/>
      <c r="V206" s="38"/>
      <c r="W206" s="38"/>
      <c r="X206" s="38"/>
      <c r="Y206" s="38"/>
      <c r="Z206" s="38"/>
    </row>
    <row r="207" spans="1:26" s="198" customFormat="1" x14ac:dyDescent="0.25">
      <c r="A207" s="280">
        <f t="shared" si="17"/>
        <v>205</v>
      </c>
      <c r="B207" s="277"/>
      <c r="C207" s="52" t="str">
        <f t="shared" si="16"/>
        <v>6UGPH_SAKSMM</v>
      </c>
      <c r="D207" s="52"/>
      <c r="E207" s="53">
        <f>+'CALCULO TARIFAS CC '!$U$45</f>
        <v>0.82386810577067515</v>
      </c>
      <c r="F207" s="54">
        <f t="shared" si="6"/>
        <v>4.3922999999999996</v>
      </c>
      <c r="G207" s="55">
        <f t="shared" si="2"/>
        <v>3.62</v>
      </c>
      <c r="H207" s="49" t="s">
        <v>276</v>
      </c>
      <c r="I207" s="38" t="s">
        <v>684</v>
      </c>
      <c r="J207" s="38">
        <v>4.3922828000000003</v>
      </c>
      <c r="K207" s="38"/>
      <c r="L207" s="381"/>
      <c r="M207" s="268"/>
      <c r="N207" s="269"/>
      <c r="O207" s="269"/>
      <c r="P207" s="283"/>
      <c r="Q207" s="269"/>
      <c r="R207" s="269"/>
      <c r="S207" s="38"/>
      <c r="T207" s="38"/>
      <c r="U207" s="38"/>
      <c r="V207" s="38"/>
      <c r="W207" s="38"/>
      <c r="X207" s="38"/>
      <c r="Y207" s="38"/>
      <c r="Z207" s="38"/>
    </row>
    <row r="208" spans="1:26" s="257" customFormat="1" x14ac:dyDescent="0.25">
      <c r="A208" s="280">
        <f t="shared" si="17"/>
        <v>206</v>
      </c>
      <c r="B208" s="277"/>
      <c r="C208" s="52" t="str">
        <f t="shared" si="16"/>
        <v>6UGPH_SAKSSM</v>
      </c>
      <c r="D208" s="52"/>
      <c r="E208" s="53">
        <f>+'CALCULO TARIFAS CC '!$U$45</f>
        <v>0.82386810577067515</v>
      </c>
      <c r="F208" s="54">
        <f t="shared" ref="F208:F218" si="18">ROUND(J208,4)</f>
        <v>5.1881000000000004</v>
      </c>
      <c r="G208" s="55">
        <f t="shared" ref="G208:G218" si="19">+ROUND(F208*E208,2)</f>
        <v>4.2699999999999996</v>
      </c>
      <c r="H208" s="49" t="s">
        <v>276</v>
      </c>
      <c r="I208" s="38" t="s">
        <v>685</v>
      </c>
      <c r="J208" s="38">
        <v>5.1881244000000004</v>
      </c>
      <c r="K208" s="38"/>
      <c r="L208" s="381"/>
      <c r="M208" s="268"/>
      <c r="N208" s="269"/>
      <c r="O208" s="269"/>
      <c r="P208" s="283"/>
      <c r="Q208" s="269"/>
      <c r="R208" s="269"/>
      <c r="S208" s="38"/>
      <c r="T208" s="38"/>
      <c r="U208" s="38"/>
      <c r="V208" s="38"/>
      <c r="W208" s="38"/>
      <c r="X208" s="38"/>
      <c r="Y208" s="38"/>
      <c r="Z208" s="38"/>
    </row>
    <row r="209" spans="1:26" s="257" customFormat="1" x14ac:dyDescent="0.25">
      <c r="A209" s="280">
        <f t="shared" si="17"/>
        <v>207</v>
      </c>
      <c r="B209" s="277"/>
      <c r="C209" s="52" t="str">
        <f t="shared" si="16"/>
        <v>6UGRANDTOWER</v>
      </c>
      <c r="D209" s="52"/>
      <c r="E209" s="53">
        <f>+'CALCULO TARIFAS CC '!$U$45</f>
        <v>0.82386810577067515</v>
      </c>
      <c r="F209" s="54">
        <f t="shared" si="18"/>
        <v>128.99350000000001</v>
      </c>
      <c r="G209" s="55">
        <f t="shared" si="19"/>
        <v>106.27</v>
      </c>
      <c r="H209" s="49" t="s">
        <v>276</v>
      </c>
      <c r="I209" s="38" t="s">
        <v>745</v>
      </c>
      <c r="J209" s="38">
        <v>128.9934767</v>
      </c>
      <c r="K209" s="38"/>
      <c r="L209" s="381"/>
      <c r="M209" s="268"/>
      <c r="N209" s="269"/>
      <c r="O209" s="269"/>
      <c r="P209" s="283"/>
      <c r="Q209" s="269"/>
      <c r="R209" s="269"/>
      <c r="S209" s="38"/>
      <c r="T209" s="38"/>
      <c r="U209" s="38"/>
      <c r="V209" s="38"/>
      <c r="W209" s="38"/>
      <c r="X209" s="38"/>
      <c r="Y209" s="38"/>
      <c r="Z209" s="38"/>
    </row>
    <row r="210" spans="1:26" s="257" customFormat="1" x14ac:dyDescent="0.25">
      <c r="A210" s="280">
        <f t="shared" si="17"/>
        <v>208</v>
      </c>
      <c r="B210" s="277"/>
      <c r="C210" s="52" t="str">
        <f t="shared" si="16"/>
        <v>6UGSK_JDIAZ</v>
      </c>
      <c r="D210" s="52"/>
      <c r="E210" s="53">
        <f>+'CALCULO TARIFAS CC '!$U$45</f>
        <v>0.82386810577067515</v>
      </c>
      <c r="F210" s="54">
        <f t="shared" si="18"/>
        <v>400.93639999999999</v>
      </c>
      <c r="G210" s="55">
        <f t="shared" si="19"/>
        <v>330.32</v>
      </c>
      <c r="H210" s="49" t="s">
        <v>276</v>
      </c>
      <c r="I210" s="38" t="s">
        <v>803</v>
      </c>
      <c r="J210" s="38">
        <v>400.93642180000001</v>
      </c>
      <c r="K210" s="38"/>
      <c r="L210" s="381"/>
      <c r="M210" s="268"/>
      <c r="N210" s="269"/>
      <c r="O210" s="269"/>
      <c r="P210" s="283"/>
      <c r="Q210" s="269"/>
      <c r="R210" s="269"/>
      <c r="S210" s="38"/>
      <c r="T210" s="38"/>
      <c r="U210" s="38"/>
      <c r="V210" s="38"/>
      <c r="W210" s="38"/>
      <c r="X210" s="38"/>
      <c r="Y210" s="38"/>
      <c r="Z210" s="38"/>
    </row>
    <row r="211" spans="1:26" s="257" customFormat="1" x14ac:dyDescent="0.25">
      <c r="A211" s="280">
        <f t="shared" si="17"/>
        <v>209</v>
      </c>
      <c r="B211" s="277"/>
      <c r="C211" s="52" t="str">
        <f t="shared" si="16"/>
        <v>6UGTOWER</v>
      </c>
      <c r="D211" s="52"/>
      <c r="E211" s="53">
        <f>+'CALCULO TARIFAS CC '!$U$45</f>
        <v>0.82386810577067515</v>
      </c>
      <c r="F211" s="54">
        <f t="shared" si="18"/>
        <v>376.47919999999999</v>
      </c>
      <c r="G211" s="55">
        <f t="shared" si="19"/>
        <v>310.17</v>
      </c>
      <c r="H211" s="49" t="s">
        <v>276</v>
      </c>
      <c r="I211" s="38" t="s">
        <v>49</v>
      </c>
      <c r="J211" s="38">
        <v>376.4791702</v>
      </c>
      <c r="K211" s="38"/>
      <c r="L211" s="381"/>
      <c r="M211" s="268"/>
      <c r="N211" s="269"/>
      <c r="O211" s="269"/>
      <c r="P211" s="283"/>
      <c r="Q211" s="269"/>
      <c r="R211" s="269"/>
      <c r="S211" s="38"/>
      <c r="T211" s="38"/>
      <c r="U211" s="38"/>
      <c r="V211" s="38"/>
      <c r="W211" s="38"/>
      <c r="X211" s="38"/>
      <c r="Y211" s="38"/>
      <c r="Z211" s="38"/>
    </row>
    <row r="212" spans="1:26" s="257" customFormat="1" x14ac:dyDescent="0.25">
      <c r="A212" s="280">
        <f t="shared" si="17"/>
        <v>210</v>
      </c>
      <c r="B212" s="277"/>
      <c r="C212" s="52" t="str">
        <f t="shared" si="16"/>
        <v>6UHAMEGLIO</v>
      </c>
      <c r="D212" s="52"/>
      <c r="E212" s="53">
        <f>+'CALCULO TARIFAS CC '!$U$45</f>
        <v>0.82386810577067515</v>
      </c>
      <c r="F212" s="54">
        <f t="shared" si="18"/>
        <v>23.653300000000002</v>
      </c>
      <c r="G212" s="55">
        <f t="shared" si="19"/>
        <v>19.489999999999998</v>
      </c>
      <c r="H212" s="49" t="s">
        <v>276</v>
      </c>
      <c r="I212" s="38" t="s">
        <v>467</v>
      </c>
      <c r="J212" s="38">
        <v>23.6532692</v>
      </c>
      <c r="K212" s="38"/>
      <c r="L212" s="381"/>
      <c r="M212" s="268"/>
      <c r="N212" s="269"/>
      <c r="O212" s="269"/>
      <c r="P212" s="283"/>
      <c r="Q212" s="269"/>
      <c r="R212" s="269"/>
      <c r="S212" s="38"/>
      <c r="T212" s="38"/>
      <c r="U212" s="38"/>
      <c r="V212" s="38"/>
      <c r="W212" s="38"/>
      <c r="X212" s="38"/>
      <c r="Y212" s="38"/>
      <c r="Z212" s="38"/>
    </row>
    <row r="213" spans="1:26" s="257" customFormat="1" x14ac:dyDescent="0.25">
      <c r="A213" s="280">
        <f t="shared" si="17"/>
        <v>211</v>
      </c>
      <c r="B213" s="277"/>
      <c r="C213" s="52" t="str">
        <f t="shared" si="16"/>
        <v>6UHARISTMO</v>
      </c>
      <c r="D213" s="52"/>
      <c r="E213" s="53">
        <f>+'CALCULO TARIFAS CC '!$U$45</f>
        <v>0.82386810577067515</v>
      </c>
      <c r="F213" s="54">
        <f t="shared" si="18"/>
        <v>296.43450000000001</v>
      </c>
      <c r="G213" s="55">
        <f t="shared" si="19"/>
        <v>244.22</v>
      </c>
      <c r="H213" s="49" t="s">
        <v>276</v>
      </c>
      <c r="I213" s="38" t="s">
        <v>713</v>
      </c>
      <c r="J213" s="38">
        <v>296.43447709999998</v>
      </c>
      <c r="K213" s="38"/>
      <c r="L213" s="381"/>
      <c r="M213" s="268"/>
      <c r="N213" s="269"/>
      <c r="O213" s="269"/>
      <c r="P213" s="283"/>
      <c r="Q213" s="269"/>
      <c r="R213" s="269"/>
      <c r="S213" s="38"/>
      <c r="T213" s="38"/>
      <c r="U213" s="38"/>
      <c r="V213" s="38"/>
      <c r="W213" s="38"/>
      <c r="X213" s="38"/>
      <c r="Y213" s="38"/>
      <c r="Z213" s="38"/>
    </row>
    <row r="214" spans="1:26" s="257" customFormat="1" x14ac:dyDescent="0.25">
      <c r="A214" s="280">
        <f t="shared" si="17"/>
        <v>212</v>
      </c>
      <c r="B214" s="277"/>
      <c r="C214" s="52" t="str">
        <f t="shared" si="16"/>
        <v>6GHBOQUERON</v>
      </c>
      <c r="D214" s="52"/>
      <c r="E214" s="53">
        <f>+'CALCULO TARIFAS CC '!$U$45</f>
        <v>0.82386810577067515</v>
      </c>
      <c r="F214" s="54">
        <f t="shared" si="18"/>
        <v>7.9899999999999999E-2</v>
      </c>
      <c r="G214" s="55">
        <f t="shared" si="19"/>
        <v>7.0000000000000007E-2</v>
      </c>
      <c r="H214" s="49" t="s">
        <v>276</v>
      </c>
      <c r="I214" s="38" t="s">
        <v>855</v>
      </c>
      <c r="J214" s="38">
        <v>7.9884999999999998E-2</v>
      </c>
      <c r="K214" s="38"/>
      <c r="L214" s="381"/>
      <c r="M214" s="268"/>
      <c r="N214" s="269"/>
      <c r="O214" s="269"/>
      <c r="P214" s="283"/>
      <c r="Q214" s="269"/>
      <c r="R214" s="269"/>
      <c r="S214" s="38"/>
      <c r="T214" s="38"/>
      <c r="U214" s="38"/>
      <c r="V214" s="38"/>
      <c r="W214" s="38"/>
      <c r="X214" s="38"/>
      <c r="Y214" s="38"/>
      <c r="Z214" s="38"/>
    </row>
    <row r="215" spans="1:26" s="257" customFormat="1" x14ac:dyDescent="0.25">
      <c r="A215" s="280">
        <f t="shared" si="17"/>
        <v>213</v>
      </c>
      <c r="B215" s="277"/>
      <c r="C215" s="52" t="str">
        <f t="shared" si="16"/>
        <v>6UHBUENAV</v>
      </c>
      <c r="D215" s="52"/>
      <c r="E215" s="53">
        <f>+'CALCULO TARIFAS CC '!$U$45</f>
        <v>0.82386810577067515</v>
      </c>
      <c r="F215" s="54">
        <f t="shared" si="18"/>
        <v>109.8609</v>
      </c>
      <c r="G215" s="55">
        <f t="shared" si="19"/>
        <v>90.51</v>
      </c>
      <c r="H215" s="49" t="s">
        <v>276</v>
      </c>
      <c r="I215" s="38" t="s">
        <v>481</v>
      </c>
      <c r="J215" s="38">
        <v>109.860946</v>
      </c>
      <c r="K215" s="38"/>
      <c r="L215" s="381"/>
      <c r="M215" s="268"/>
      <c r="N215" s="269"/>
      <c r="O215" s="269"/>
      <c r="P215" s="283"/>
      <c r="Q215" s="269"/>
      <c r="R215" s="269"/>
      <c r="S215" s="38"/>
      <c r="T215" s="38"/>
      <c r="U215" s="38"/>
      <c r="V215" s="38"/>
      <c r="W215" s="38"/>
      <c r="X215" s="38"/>
      <c r="Y215" s="38"/>
      <c r="Z215" s="38"/>
    </row>
    <row r="216" spans="1:26" s="257" customFormat="1" x14ac:dyDescent="0.25">
      <c r="A216" s="280">
        <f t="shared" si="17"/>
        <v>214</v>
      </c>
      <c r="B216" s="277"/>
      <c r="C216" s="52" t="str">
        <f t="shared" si="16"/>
        <v>6GHCAISAN</v>
      </c>
      <c r="D216" s="52"/>
      <c r="E216" s="53">
        <f>+'CALCULO TARIFAS CC '!$U$45</f>
        <v>0.82386810577067515</v>
      </c>
      <c r="F216" s="54">
        <f t="shared" si="18"/>
        <v>26.495200000000001</v>
      </c>
      <c r="G216" s="55">
        <f t="shared" si="19"/>
        <v>21.83</v>
      </c>
      <c r="H216" s="49" t="s">
        <v>276</v>
      </c>
      <c r="I216" s="38" t="s">
        <v>454</v>
      </c>
      <c r="J216" s="38">
        <v>26.495200000000001</v>
      </c>
      <c r="K216" s="38"/>
      <c r="L216" s="381"/>
      <c r="M216" s="268"/>
      <c r="N216" s="269"/>
      <c r="O216" s="269"/>
      <c r="P216" s="283"/>
      <c r="Q216" s="269"/>
      <c r="R216" s="269"/>
      <c r="S216" s="38"/>
      <c r="T216" s="38"/>
      <c r="U216" s="38"/>
      <c r="V216" s="38"/>
      <c r="W216" s="38"/>
      <c r="X216" s="38"/>
      <c r="Y216" s="38"/>
      <c r="Z216" s="38"/>
    </row>
    <row r="217" spans="1:26" s="257" customFormat="1" x14ac:dyDescent="0.25">
      <c r="A217" s="280">
        <f t="shared" si="17"/>
        <v>215</v>
      </c>
      <c r="B217" s="277"/>
      <c r="C217" s="52" t="str">
        <f t="shared" si="16"/>
        <v>6UHCARIBE</v>
      </c>
      <c r="D217" s="52"/>
      <c r="E217" s="53">
        <f>+'CALCULO TARIFAS CC '!$U$45</f>
        <v>0.82386810577067515</v>
      </c>
      <c r="F217" s="54">
        <f t="shared" si="18"/>
        <v>172.8938</v>
      </c>
      <c r="G217" s="55">
        <f t="shared" si="19"/>
        <v>142.44</v>
      </c>
      <c r="H217" s="49" t="s">
        <v>276</v>
      </c>
      <c r="I217" s="38" t="s">
        <v>513</v>
      </c>
      <c r="J217" s="38">
        <v>172.8937555</v>
      </c>
      <c r="K217" s="38"/>
      <c r="L217" s="381"/>
      <c r="M217" s="268"/>
      <c r="N217" s="269"/>
      <c r="O217" s="269"/>
      <c r="P217" s="283"/>
      <c r="Q217" s="269"/>
      <c r="R217" s="269"/>
      <c r="S217" s="38"/>
      <c r="T217" s="38"/>
      <c r="U217" s="38"/>
      <c r="V217" s="38"/>
      <c r="W217" s="38"/>
      <c r="X217" s="38"/>
      <c r="Y217" s="38"/>
      <c r="Z217" s="38"/>
    </row>
    <row r="218" spans="1:26" s="257" customFormat="1" x14ac:dyDescent="0.25">
      <c r="A218" s="280">
        <f t="shared" si="17"/>
        <v>216</v>
      </c>
      <c r="B218" s="277"/>
      <c r="C218" s="52" t="str">
        <f t="shared" si="16"/>
        <v>6UHCENTR72</v>
      </c>
      <c r="D218" s="52"/>
      <c r="E218" s="53">
        <f>+'CALCULO TARIFAS CC '!$U$45</f>
        <v>0.82386810577067515</v>
      </c>
      <c r="F218" s="54">
        <f t="shared" si="18"/>
        <v>108.8737</v>
      </c>
      <c r="G218" s="55">
        <f t="shared" si="19"/>
        <v>89.7</v>
      </c>
      <c r="H218" s="49" t="s">
        <v>276</v>
      </c>
      <c r="I218" s="38" t="s">
        <v>569</v>
      </c>
      <c r="J218" s="38">
        <v>108.8736936</v>
      </c>
      <c r="K218" s="38"/>
      <c r="L218" s="381"/>
      <c r="M218" s="268"/>
      <c r="N218" s="269"/>
      <c r="O218" s="269"/>
      <c r="P218" s="283"/>
      <c r="Q218" s="269"/>
      <c r="R218" s="269"/>
      <c r="S218" s="38"/>
      <c r="T218" s="38"/>
      <c r="U218" s="38"/>
      <c r="V218" s="38"/>
      <c r="W218" s="38"/>
      <c r="X218" s="38"/>
      <c r="Y218" s="38"/>
      <c r="Z218" s="38"/>
    </row>
    <row r="219" spans="1:26" x14ac:dyDescent="0.25">
      <c r="A219" s="280">
        <f t="shared" si="17"/>
        <v>217</v>
      </c>
      <c r="B219" s="277"/>
      <c r="C219" s="52" t="str">
        <f t="shared" si="16"/>
        <v>6UHCONT</v>
      </c>
      <c r="D219" s="52"/>
      <c r="E219" s="53">
        <f>+'CALCULO TARIFAS CC '!$U$45</f>
        <v>0.82386810577067515</v>
      </c>
      <c r="F219" s="54">
        <f t="shared" si="6"/>
        <v>85.764300000000006</v>
      </c>
      <c r="G219" s="55">
        <f t="shared" si="2"/>
        <v>70.66</v>
      </c>
      <c r="H219" s="49" t="s">
        <v>276</v>
      </c>
      <c r="I219" s="38" t="s">
        <v>570</v>
      </c>
      <c r="J219" s="38">
        <v>85.764309600000004</v>
      </c>
      <c r="K219" s="38"/>
      <c r="L219" s="381"/>
      <c r="M219" s="268"/>
      <c r="N219" s="269"/>
      <c r="O219" s="269"/>
      <c r="P219" s="283"/>
      <c r="Q219" s="269"/>
      <c r="R219" s="269"/>
      <c r="S219" s="38"/>
      <c r="T219" s="38"/>
      <c r="U219" s="38"/>
      <c r="V219" s="38"/>
      <c r="W219" s="38"/>
      <c r="X219" s="38"/>
      <c r="Y219" s="38"/>
      <c r="Z219" s="38"/>
    </row>
    <row r="220" spans="1:26" x14ac:dyDescent="0.25">
      <c r="A220" s="280">
        <f t="shared" si="17"/>
        <v>218</v>
      </c>
      <c r="B220" s="277"/>
      <c r="C220" s="52" t="str">
        <f t="shared" si="16"/>
        <v>6UHCOURTY</v>
      </c>
      <c r="D220" s="52"/>
      <c r="E220" s="53">
        <f>+'CALCULO TARIFAS CC '!$U$45</f>
        <v>0.82386810577067515</v>
      </c>
      <c r="F220" s="54">
        <f t="shared" si="6"/>
        <v>51.295900000000003</v>
      </c>
      <c r="G220" s="55">
        <f t="shared" si="2"/>
        <v>42.26</v>
      </c>
      <c r="H220" s="49" t="s">
        <v>276</v>
      </c>
      <c r="I220" s="38" t="s">
        <v>686</v>
      </c>
      <c r="J220" s="38">
        <v>51.295896900000002</v>
      </c>
      <c r="K220" s="38"/>
      <c r="L220" s="381"/>
      <c r="M220" s="268"/>
      <c r="N220" s="269"/>
      <c r="O220" s="269"/>
      <c r="P220" s="283"/>
      <c r="Q220" s="269"/>
      <c r="R220" s="269"/>
      <c r="S220" s="38"/>
      <c r="T220" s="38"/>
      <c r="U220" s="38"/>
      <c r="V220" s="38"/>
      <c r="W220" s="38"/>
      <c r="X220" s="38"/>
      <c r="Y220" s="38"/>
      <c r="Z220" s="38"/>
    </row>
    <row r="221" spans="1:26" x14ac:dyDescent="0.25">
      <c r="A221" s="280">
        <f t="shared" si="17"/>
        <v>219</v>
      </c>
      <c r="B221" s="277"/>
      <c r="C221" s="52" t="str">
        <f t="shared" si="16"/>
        <v>6UHCROWNETOC</v>
      </c>
      <c r="D221" s="52"/>
      <c r="E221" s="53">
        <f>+'CALCULO TARIFAS CC '!$U$45</f>
        <v>0.82386810577067515</v>
      </c>
      <c r="F221" s="54">
        <f t="shared" si="6"/>
        <v>26.163799999999998</v>
      </c>
      <c r="G221" s="55">
        <f t="shared" si="2"/>
        <v>21.56</v>
      </c>
      <c r="H221" s="49" t="s">
        <v>276</v>
      </c>
      <c r="I221" s="38" t="s">
        <v>571</v>
      </c>
      <c r="J221" s="38">
        <v>26.16377</v>
      </c>
      <c r="K221" s="38"/>
      <c r="L221" s="381"/>
      <c r="M221" s="268"/>
      <c r="N221" s="269"/>
      <c r="O221" s="269"/>
      <c r="P221" s="283"/>
      <c r="Q221" s="269"/>
      <c r="R221" s="269"/>
      <c r="S221" s="38"/>
      <c r="T221" s="38"/>
      <c r="U221" s="38"/>
      <c r="V221" s="38"/>
      <c r="W221" s="38"/>
      <c r="X221" s="38"/>
      <c r="Y221" s="38"/>
      <c r="Z221" s="38"/>
    </row>
    <row r="222" spans="1:26" x14ac:dyDescent="0.25">
      <c r="A222" s="280">
        <f t="shared" si="17"/>
        <v>220</v>
      </c>
      <c r="B222" s="277"/>
      <c r="C222" s="52" t="str">
        <f t="shared" si="16"/>
        <v>6UHHINN</v>
      </c>
      <c r="D222" s="52"/>
      <c r="E222" s="53">
        <f>+'CALCULO TARIFAS CC '!$U$45</f>
        <v>0.82386810577067515</v>
      </c>
      <c r="F222" s="54">
        <f t="shared" si="6"/>
        <v>99.0167</v>
      </c>
      <c r="G222" s="55">
        <f t="shared" si="2"/>
        <v>81.58</v>
      </c>
      <c r="H222" s="49" t="s">
        <v>276</v>
      </c>
      <c r="I222" s="38" t="s">
        <v>479</v>
      </c>
      <c r="J222" s="38">
        <v>99.016690299999993</v>
      </c>
      <c r="K222" s="38"/>
      <c r="L222" s="381"/>
      <c r="M222" s="268"/>
      <c r="N222" s="269"/>
      <c r="O222" s="269"/>
      <c r="P222" s="283"/>
      <c r="Q222" s="269"/>
      <c r="R222" s="269"/>
      <c r="S222" s="38"/>
      <c r="T222" s="38"/>
      <c r="U222" s="38"/>
      <c r="V222" s="38"/>
      <c r="W222" s="38"/>
      <c r="X222" s="38"/>
      <c r="Y222" s="38"/>
      <c r="Z222" s="38"/>
    </row>
    <row r="223" spans="1:26" x14ac:dyDescent="0.25">
      <c r="A223" s="280">
        <f t="shared" si="17"/>
        <v>221</v>
      </c>
      <c r="B223" s="277"/>
      <c r="C223" s="52" t="str">
        <f t="shared" si="16"/>
        <v>6UHHINNEX67</v>
      </c>
      <c r="D223" s="52"/>
      <c r="E223" s="53">
        <f>+'CALCULO TARIFAS CC '!$U$45</f>
        <v>0.82386810577067515</v>
      </c>
      <c r="F223" s="54">
        <f t="shared" si="6"/>
        <v>128.80459999999999</v>
      </c>
      <c r="G223" s="55">
        <f t="shared" si="2"/>
        <v>106.12</v>
      </c>
      <c r="H223" s="49" t="s">
        <v>276</v>
      </c>
      <c r="I223" s="38" t="s">
        <v>572</v>
      </c>
      <c r="J223" s="38">
        <v>128.8046147</v>
      </c>
      <c r="K223" s="38"/>
      <c r="L223" s="381"/>
      <c r="M223" s="268"/>
      <c r="N223" s="269"/>
      <c r="O223" s="269"/>
      <c r="P223" s="283"/>
      <c r="Q223" s="269"/>
      <c r="R223" s="269"/>
      <c r="S223" s="38"/>
      <c r="T223" s="38"/>
      <c r="U223" s="38"/>
      <c r="V223" s="38"/>
      <c r="W223" s="38"/>
      <c r="X223" s="38"/>
      <c r="Y223" s="38"/>
      <c r="Z223" s="38"/>
    </row>
    <row r="224" spans="1:26" x14ac:dyDescent="0.25">
      <c r="A224" s="280">
        <f t="shared" si="17"/>
        <v>222</v>
      </c>
      <c r="B224" s="277"/>
      <c r="C224" s="52" t="str">
        <f t="shared" si="16"/>
        <v>6UHIPICA</v>
      </c>
      <c r="D224" s="52"/>
      <c r="E224" s="53">
        <f>+'CALCULO TARIFAS CC '!$U$45</f>
        <v>0.82386810577067515</v>
      </c>
      <c r="F224" s="54">
        <f t="shared" si="6"/>
        <v>580.46910000000003</v>
      </c>
      <c r="G224" s="55">
        <f t="shared" si="2"/>
        <v>478.23</v>
      </c>
      <c r="H224" s="49" t="s">
        <v>276</v>
      </c>
      <c r="I224" s="38" t="s">
        <v>832</v>
      </c>
      <c r="J224" s="38">
        <v>580.46911880000005</v>
      </c>
      <c r="K224" s="38"/>
      <c r="L224" s="381"/>
      <c r="M224" s="268"/>
      <c r="N224" s="269"/>
      <c r="O224" s="269"/>
      <c r="P224" s="283"/>
      <c r="Q224" s="269"/>
      <c r="R224" s="269"/>
      <c r="S224" s="38"/>
      <c r="T224" s="38"/>
      <c r="U224" s="38"/>
      <c r="V224" s="38"/>
      <c r="W224" s="38"/>
      <c r="X224" s="38"/>
      <c r="Y224" s="38"/>
      <c r="Z224" s="38"/>
    </row>
    <row r="225" spans="1:26" x14ac:dyDescent="0.25">
      <c r="A225" s="280">
        <f t="shared" si="17"/>
        <v>223</v>
      </c>
      <c r="B225" s="277"/>
      <c r="C225" s="52" t="str">
        <f t="shared" si="16"/>
        <v>6UHITALIANA</v>
      </c>
      <c r="D225" s="52"/>
      <c r="E225" s="53">
        <f>+'CALCULO TARIFAS CC '!$U$45</f>
        <v>0.82386810577067515</v>
      </c>
      <c r="F225" s="54">
        <f t="shared" si="6"/>
        <v>52.366399999999999</v>
      </c>
      <c r="G225" s="55">
        <f t="shared" si="2"/>
        <v>43.14</v>
      </c>
      <c r="H225" s="49" t="s">
        <v>276</v>
      </c>
      <c r="I225" s="38" t="s">
        <v>833</v>
      </c>
      <c r="J225" s="38">
        <v>52.3664372</v>
      </c>
      <c r="K225" s="38"/>
      <c r="L225" s="381"/>
      <c r="M225" s="268"/>
      <c r="N225" s="269"/>
      <c r="O225" s="269"/>
      <c r="P225" s="283"/>
      <c r="Q225" s="269"/>
      <c r="R225" s="269"/>
      <c r="S225" s="38"/>
      <c r="T225" s="38"/>
      <c r="U225" s="38"/>
      <c r="V225" s="38"/>
      <c r="W225" s="38"/>
      <c r="X225" s="38"/>
      <c r="Y225" s="38"/>
      <c r="Z225" s="38"/>
    </row>
    <row r="226" spans="1:26" s="259" customFormat="1" x14ac:dyDescent="0.25">
      <c r="A226" s="280">
        <f t="shared" si="17"/>
        <v>224</v>
      </c>
      <c r="B226" s="277"/>
      <c r="C226" s="52" t="str">
        <f t="shared" si="16"/>
        <v>6UHOSPNAC</v>
      </c>
      <c r="D226" s="52"/>
      <c r="E226" s="53">
        <f>+'CALCULO TARIFAS CC '!$U$45</f>
        <v>0.82386810577067515</v>
      </c>
      <c r="F226" s="54">
        <f t="shared" ref="F226:F262" si="20">ROUND(J226,4)</f>
        <v>411.08819999999997</v>
      </c>
      <c r="G226" s="55">
        <f t="shared" ref="G226:G262" si="21">+ROUND(F226*E226,2)</f>
        <v>338.68</v>
      </c>
      <c r="H226" s="49" t="s">
        <v>276</v>
      </c>
      <c r="I226" s="38" t="s">
        <v>510</v>
      </c>
      <c r="J226" s="38">
        <v>411.08819340000002</v>
      </c>
      <c r="K226" s="38"/>
      <c r="L226" s="381"/>
      <c r="M226" s="268"/>
      <c r="N226" s="269"/>
      <c r="O226" s="269"/>
      <c r="P226" s="283"/>
      <c r="Q226" s="269"/>
      <c r="R226" s="269"/>
      <c r="S226" s="38"/>
      <c r="T226" s="38"/>
      <c r="U226" s="38"/>
      <c r="V226" s="38"/>
      <c r="W226" s="38"/>
      <c r="X226" s="38"/>
      <c r="Y226" s="38"/>
      <c r="Z226" s="38"/>
    </row>
    <row r="227" spans="1:26" s="260" customFormat="1" x14ac:dyDescent="0.25">
      <c r="A227" s="280">
        <f t="shared" si="17"/>
        <v>225</v>
      </c>
      <c r="B227" s="277"/>
      <c r="C227" s="52" t="str">
        <f t="shared" si="16"/>
        <v>6UHPALACIOS</v>
      </c>
      <c r="D227" s="52"/>
      <c r="E227" s="53">
        <f>+'CALCULO TARIFAS CC '!$U$45</f>
        <v>0.82386810577067515</v>
      </c>
      <c r="F227" s="54">
        <f t="shared" ref="F227:F239" si="22">ROUND(J227,4)</f>
        <v>177.27449999999999</v>
      </c>
      <c r="G227" s="55">
        <f t="shared" ref="G227:G239" si="23">+ROUND(F227*E227,2)</f>
        <v>146.05000000000001</v>
      </c>
      <c r="H227" s="49" t="s">
        <v>276</v>
      </c>
      <c r="I227" s="38" t="s">
        <v>804</v>
      </c>
      <c r="J227" s="38">
        <v>177.27445800000001</v>
      </c>
      <c r="K227" s="38"/>
      <c r="L227" s="381"/>
      <c r="M227" s="268"/>
      <c r="N227" s="269"/>
      <c r="O227" s="269"/>
      <c r="P227" s="283"/>
      <c r="Q227" s="269"/>
      <c r="R227" s="269"/>
      <c r="S227" s="38"/>
      <c r="T227" s="38"/>
      <c r="U227" s="38"/>
      <c r="V227" s="38"/>
      <c r="W227" s="38"/>
      <c r="X227" s="38"/>
      <c r="Y227" s="38"/>
      <c r="Z227" s="38"/>
    </row>
    <row r="228" spans="1:26" s="260" customFormat="1" x14ac:dyDescent="0.25">
      <c r="A228" s="280">
        <f t="shared" si="17"/>
        <v>226</v>
      </c>
      <c r="B228" s="277"/>
      <c r="C228" s="52" t="str">
        <f t="shared" si="16"/>
        <v>6UHPANAMA</v>
      </c>
      <c r="D228" s="52"/>
      <c r="E228" s="53">
        <f>+'CALCULO TARIFAS CC '!$U$45</f>
        <v>0.82386810577067515</v>
      </c>
      <c r="F228" s="54">
        <f t="shared" si="22"/>
        <v>273.44400000000002</v>
      </c>
      <c r="G228" s="55">
        <f t="shared" si="23"/>
        <v>225.28</v>
      </c>
      <c r="H228" s="49" t="s">
        <v>276</v>
      </c>
      <c r="I228" s="38" t="s">
        <v>614</v>
      </c>
      <c r="J228" s="38">
        <v>273.44396380000001</v>
      </c>
      <c r="K228" s="38"/>
      <c r="L228" s="381"/>
      <c r="M228" s="268"/>
      <c r="N228" s="269"/>
      <c r="O228" s="269"/>
      <c r="P228" s="283"/>
      <c r="Q228" s="269"/>
      <c r="R228" s="269"/>
      <c r="S228" s="38"/>
      <c r="T228" s="38"/>
      <c r="U228" s="38"/>
      <c r="V228" s="38"/>
      <c r="W228" s="38"/>
      <c r="X228" s="38"/>
      <c r="Y228" s="38"/>
      <c r="Z228" s="38"/>
    </row>
    <row r="229" spans="1:26" s="260" customFormat="1" x14ac:dyDescent="0.25">
      <c r="A229" s="280">
        <f t="shared" si="17"/>
        <v>227</v>
      </c>
      <c r="B229" s="277"/>
      <c r="C229" s="52" t="str">
        <f t="shared" si="16"/>
        <v>6UHPBLANCA</v>
      </c>
      <c r="D229" s="52"/>
      <c r="E229" s="53">
        <f>+'CALCULO TARIFAS CC '!$U$45</f>
        <v>0.82386810577067515</v>
      </c>
      <c r="F229" s="54">
        <f t="shared" si="22"/>
        <v>125.9294</v>
      </c>
      <c r="G229" s="55">
        <f t="shared" si="23"/>
        <v>103.75</v>
      </c>
      <c r="H229" s="49" t="s">
        <v>276</v>
      </c>
      <c r="I229" s="38" t="s">
        <v>805</v>
      </c>
      <c r="J229" s="38">
        <v>125.92937740000001</v>
      </c>
      <c r="K229" s="38"/>
      <c r="L229" s="381"/>
      <c r="M229" s="268"/>
      <c r="N229" s="269"/>
      <c r="O229" s="269"/>
      <c r="P229" s="283"/>
      <c r="Q229" s="269"/>
      <c r="R229" s="269"/>
      <c r="S229" s="38"/>
      <c r="T229" s="38"/>
      <c r="U229" s="38"/>
      <c r="V229" s="38"/>
      <c r="W229" s="38"/>
      <c r="X229" s="38"/>
      <c r="Y229" s="38"/>
      <c r="Z229" s="38"/>
    </row>
    <row r="230" spans="1:26" s="260" customFormat="1" x14ac:dyDescent="0.25">
      <c r="A230" s="280">
        <f t="shared" si="17"/>
        <v>228</v>
      </c>
      <c r="B230" s="277"/>
      <c r="C230" s="52" t="str">
        <f t="shared" si="16"/>
        <v>6UHPBONITA</v>
      </c>
      <c r="D230" s="52"/>
      <c r="E230" s="53">
        <f>+'CALCULO TARIFAS CC '!$U$45</f>
        <v>0.82386810577067515</v>
      </c>
      <c r="F230" s="54">
        <f t="shared" si="22"/>
        <v>238.3511</v>
      </c>
      <c r="G230" s="55">
        <f t="shared" si="23"/>
        <v>196.37</v>
      </c>
      <c r="H230" s="49" t="s">
        <v>276</v>
      </c>
      <c r="I230" s="38" t="s">
        <v>478</v>
      </c>
      <c r="J230" s="38">
        <v>238.35112470000001</v>
      </c>
      <c r="K230" s="38"/>
      <c r="L230" s="381"/>
      <c r="M230" s="268"/>
      <c r="N230" s="269"/>
      <c r="O230" s="269"/>
      <c r="P230" s="283"/>
      <c r="Q230" s="269"/>
      <c r="R230" s="269"/>
      <c r="S230" s="38"/>
      <c r="T230" s="38"/>
      <c r="U230" s="38"/>
      <c r="V230" s="38"/>
      <c r="W230" s="38"/>
      <c r="X230" s="38"/>
      <c r="Y230" s="38"/>
      <c r="Z230" s="38"/>
    </row>
    <row r="231" spans="1:26" s="260" customFormat="1" x14ac:dyDescent="0.25">
      <c r="A231" s="280">
        <f t="shared" si="17"/>
        <v>229</v>
      </c>
      <c r="B231" s="277"/>
      <c r="C231" s="52" t="str">
        <f t="shared" si="16"/>
        <v>6UHPPACIFICA</v>
      </c>
      <c r="D231" s="52"/>
      <c r="E231" s="53">
        <f>+'CALCULO TARIFAS CC '!$U$45</f>
        <v>0.82386810577067515</v>
      </c>
      <c r="F231" s="54">
        <f t="shared" si="22"/>
        <v>608.77779999999996</v>
      </c>
      <c r="G231" s="55">
        <f t="shared" si="23"/>
        <v>501.55</v>
      </c>
      <c r="H231" s="49" t="s">
        <v>276</v>
      </c>
      <c r="I231" s="38" t="s">
        <v>50</v>
      </c>
      <c r="J231" s="38">
        <v>608.77778880000005</v>
      </c>
      <c r="K231" s="38"/>
      <c r="L231" s="381"/>
      <c r="M231" s="268"/>
      <c r="N231" s="269"/>
      <c r="O231" s="269"/>
      <c r="P231" s="283"/>
      <c r="Q231" s="269"/>
      <c r="R231" s="269"/>
      <c r="S231" s="38"/>
      <c r="T231" s="38"/>
      <c r="U231" s="38"/>
      <c r="V231" s="38"/>
      <c r="W231" s="38"/>
      <c r="X231" s="38"/>
      <c r="Y231" s="38"/>
      <c r="Z231" s="38"/>
    </row>
    <row r="232" spans="1:26" s="260" customFormat="1" x14ac:dyDescent="0.25">
      <c r="A232" s="280">
        <f t="shared" si="17"/>
        <v>230</v>
      </c>
      <c r="B232" s="277"/>
      <c r="C232" s="52" t="str">
        <f t="shared" si="16"/>
        <v>6UHPROPERT</v>
      </c>
      <c r="D232" s="52"/>
      <c r="E232" s="53">
        <f>+'CALCULO TARIFAS CC '!$U$45</f>
        <v>0.82386810577067515</v>
      </c>
      <c r="F232" s="54">
        <f t="shared" si="22"/>
        <v>368.40499999999997</v>
      </c>
      <c r="G232" s="55">
        <f t="shared" si="23"/>
        <v>303.52</v>
      </c>
      <c r="H232" s="49" t="s">
        <v>276</v>
      </c>
      <c r="I232" s="38" t="s">
        <v>511</v>
      </c>
      <c r="J232" s="38">
        <v>368.40501540000002</v>
      </c>
      <c r="K232" s="38"/>
      <c r="L232" s="381"/>
      <c r="M232" s="268"/>
      <c r="N232" s="269"/>
      <c r="O232" s="269"/>
      <c r="P232" s="283"/>
      <c r="Q232" s="269"/>
      <c r="R232" s="269"/>
      <c r="S232" s="38"/>
      <c r="T232" s="38"/>
      <c r="U232" s="38"/>
      <c r="V232" s="38"/>
      <c r="W232" s="38"/>
      <c r="X232" s="38"/>
      <c r="Y232" s="38"/>
      <c r="Z232" s="38"/>
    </row>
    <row r="233" spans="1:26" s="260" customFormat="1" x14ac:dyDescent="0.25">
      <c r="A233" s="280">
        <f t="shared" si="17"/>
        <v>231</v>
      </c>
      <c r="B233" s="277"/>
      <c r="C233" s="52" t="str">
        <f t="shared" si="16"/>
        <v>6UHRIANTOC</v>
      </c>
      <c r="D233" s="52"/>
      <c r="E233" s="53">
        <f>+'CALCULO TARIFAS CC '!$U$45</f>
        <v>0.82386810577067515</v>
      </c>
      <c r="F233" s="54">
        <f t="shared" si="22"/>
        <v>118.4469</v>
      </c>
      <c r="G233" s="55">
        <f t="shared" si="23"/>
        <v>97.58</v>
      </c>
      <c r="H233" s="49" t="s">
        <v>276</v>
      </c>
      <c r="I233" s="38" t="s">
        <v>468</v>
      </c>
      <c r="J233" s="38">
        <v>118.4469206</v>
      </c>
      <c r="K233" s="38"/>
      <c r="L233" s="381"/>
      <c r="M233" s="268"/>
      <c r="N233" s="269"/>
      <c r="O233" s="269"/>
      <c r="P233" s="283"/>
      <c r="Q233" s="269"/>
      <c r="R233" s="269"/>
      <c r="S233" s="38"/>
      <c r="T233" s="38"/>
      <c r="U233" s="38"/>
      <c r="V233" s="38"/>
      <c r="W233" s="38"/>
      <c r="X233" s="38"/>
      <c r="Y233" s="38"/>
      <c r="Z233" s="38"/>
    </row>
    <row r="234" spans="1:26" s="260" customFormat="1" x14ac:dyDescent="0.25">
      <c r="A234" s="280">
        <f t="shared" si="17"/>
        <v>232</v>
      </c>
      <c r="B234" s="277"/>
      <c r="C234" s="52" t="str">
        <f t="shared" si="16"/>
        <v>6UHRIU</v>
      </c>
      <c r="D234" s="52"/>
      <c r="E234" s="53">
        <f>+'CALCULO TARIFAS CC '!$U$45</f>
        <v>0.82386810577067515</v>
      </c>
      <c r="F234" s="54">
        <f t="shared" si="22"/>
        <v>282.86790000000002</v>
      </c>
      <c r="G234" s="55">
        <f t="shared" si="23"/>
        <v>233.05</v>
      </c>
      <c r="H234" s="49" t="s">
        <v>276</v>
      </c>
      <c r="I234" s="38" t="s">
        <v>806</v>
      </c>
      <c r="J234" s="38">
        <v>282.86791590000001</v>
      </c>
      <c r="K234" s="38"/>
      <c r="L234" s="381"/>
      <c r="M234" s="268"/>
      <c r="N234" s="269"/>
      <c r="O234" s="269"/>
      <c r="P234" s="283"/>
      <c r="Q234" s="269"/>
      <c r="R234" s="269"/>
      <c r="S234" s="38"/>
      <c r="T234" s="38"/>
      <c r="U234" s="38"/>
      <c r="V234" s="38"/>
      <c r="W234" s="38"/>
      <c r="X234" s="38"/>
      <c r="Y234" s="38"/>
      <c r="Z234" s="38"/>
    </row>
    <row r="235" spans="1:26" s="260" customFormat="1" x14ac:dyDescent="0.25">
      <c r="A235" s="280">
        <f t="shared" si="17"/>
        <v>233</v>
      </c>
      <c r="B235" s="277"/>
      <c r="C235" s="52" t="str">
        <f t="shared" si="16"/>
        <v>6UHSANFE20</v>
      </c>
      <c r="D235" s="52"/>
      <c r="E235" s="53">
        <f>+'CALCULO TARIFAS CC '!$U$45</f>
        <v>0.82386810577067515</v>
      </c>
      <c r="F235" s="54">
        <f t="shared" si="22"/>
        <v>118.83029999999999</v>
      </c>
      <c r="G235" s="55">
        <f t="shared" si="23"/>
        <v>97.9</v>
      </c>
      <c r="H235" s="49" t="s">
        <v>276</v>
      </c>
      <c r="I235" s="38" t="s">
        <v>573</v>
      </c>
      <c r="J235" s="38">
        <v>118.83031099999999</v>
      </c>
      <c r="K235" s="38"/>
      <c r="L235" s="381"/>
      <c r="M235" s="268"/>
      <c r="N235" s="269"/>
      <c r="O235" s="269"/>
      <c r="P235" s="283"/>
      <c r="Q235" s="269"/>
      <c r="R235" s="269"/>
      <c r="S235" s="38"/>
      <c r="T235" s="38"/>
      <c r="U235" s="38"/>
      <c r="V235" s="38"/>
      <c r="W235" s="38"/>
      <c r="X235" s="38"/>
      <c r="Y235" s="38"/>
      <c r="Z235" s="38"/>
    </row>
    <row r="236" spans="1:26" s="260" customFormat="1" x14ac:dyDescent="0.25">
      <c r="A236" s="280">
        <f t="shared" si="17"/>
        <v>234</v>
      </c>
      <c r="B236" s="277"/>
      <c r="C236" s="52" t="str">
        <f t="shared" si="16"/>
        <v>6UHSDIAMOND</v>
      </c>
      <c r="D236" s="52"/>
      <c r="E236" s="53">
        <f>+'CALCULO TARIFAS CC '!$U$45</f>
        <v>0.82386810577067515</v>
      </c>
      <c r="F236" s="54">
        <f t="shared" si="22"/>
        <v>172.62809999999999</v>
      </c>
      <c r="G236" s="55">
        <f t="shared" si="23"/>
        <v>142.22</v>
      </c>
      <c r="H236" s="49" t="s">
        <v>276</v>
      </c>
      <c r="I236" s="38" t="s">
        <v>615</v>
      </c>
      <c r="J236" s="38">
        <v>172.6280988</v>
      </c>
      <c r="K236" s="38"/>
      <c r="L236" s="381"/>
      <c r="M236" s="268"/>
      <c r="N236" s="269"/>
      <c r="O236" s="269"/>
      <c r="P236" s="283"/>
      <c r="Q236" s="269"/>
      <c r="R236" s="269"/>
      <c r="S236" s="38"/>
      <c r="T236" s="38"/>
      <c r="U236" s="38"/>
      <c r="V236" s="38"/>
      <c r="W236" s="38"/>
      <c r="X236" s="38"/>
      <c r="Y236" s="38"/>
      <c r="Z236" s="38"/>
    </row>
    <row r="237" spans="1:26" s="260" customFormat="1" x14ac:dyDescent="0.25">
      <c r="A237" s="280">
        <f t="shared" si="17"/>
        <v>235</v>
      </c>
      <c r="B237" s="277"/>
      <c r="C237" s="52" t="str">
        <f t="shared" si="16"/>
        <v>6UHSMARIA</v>
      </c>
      <c r="D237" s="52"/>
      <c r="E237" s="53">
        <f>+'CALCULO TARIFAS CC '!$U$45</f>
        <v>0.82386810577067515</v>
      </c>
      <c r="F237" s="54">
        <f t="shared" si="22"/>
        <v>122.6405</v>
      </c>
      <c r="G237" s="55">
        <f t="shared" si="23"/>
        <v>101.04</v>
      </c>
      <c r="H237" s="49" t="s">
        <v>276</v>
      </c>
      <c r="I237" s="38" t="s">
        <v>512</v>
      </c>
      <c r="J237" s="38">
        <v>122.64050400000001</v>
      </c>
      <c r="K237" s="38"/>
      <c r="L237" s="381"/>
      <c r="M237" s="268"/>
      <c r="N237" s="269"/>
      <c r="O237" s="269"/>
      <c r="P237" s="283"/>
      <c r="Q237" s="269"/>
      <c r="R237" s="269"/>
      <c r="S237" s="38"/>
      <c r="T237" s="38"/>
      <c r="U237" s="38"/>
      <c r="V237" s="38"/>
      <c r="W237" s="38"/>
      <c r="X237" s="38"/>
      <c r="Y237" s="38"/>
      <c r="Z237" s="38"/>
    </row>
    <row r="238" spans="1:26" s="260" customFormat="1" x14ac:dyDescent="0.25">
      <c r="A238" s="280">
        <f t="shared" si="17"/>
        <v>236</v>
      </c>
      <c r="B238" s="277"/>
      <c r="C238" s="52" t="str">
        <f t="shared" si="16"/>
        <v>6UHSOLOY</v>
      </c>
      <c r="D238" s="52"/>
      <c r="E238" s="53">
        <f>+'CALCULO TARIFAS CC '!$U$45</f>
        <v>0.82386810577067515</v>
      </c>
      <c r="F238" s="54">
        <f t="shared" si="22"/>
        <v>104.706</v>
      </c>
      <c r="G238" s="55">
        <f t="shared" si="23"/>
        <v>86.26</v>
      </c>
      <c r="H238" s="49" t="s">
        <v>276</v>
      </c>
      <c r="I238" s="38" t="s">
        <v>616</v>
      </c>
      <c r="J238" s="38">
        <v>104.7060108</v>
      </c>
      <c r="K238" s="38"/>
      <c r="L238" s="381"/>
      <c r="M238" s="268"/>
      <c r="N238" s="269"/>
      <c r="O238" s="269"/>
      <c r="P238" s="283"/>
      <c r="Q238" s="269"/>
      <c r="R238" s="269"/>
      <c r="S238" s="38"/>
      <c r="T238" s="38"/>
      <c r="U238" s="38"/>
      <c r="V238" s="38"/>
      <c r="W238" s="38"/>
      <c r="X238" s="38"/>
      <c r="Y238" s="38"/>
      <c r="Z238" s="38"/>
    </row>
    <row r="239" spans="1:26" s="260" customFormat="1" x14ac:dyDescent="0.25">
      <c r="A239" s="280">
        <f t="shared" si="17"/>
        <v>237</v>
      </c>
      <c r="B239" s="277"/>
      <c r="C239" s="52" t="str">
        <f t="shared" si="16"/>
        <v>6GHTERIBE</v>
      </c>
      <c r="D239" s="52"/>
      <c r="E239" s="53">
        <f>+'CALCULO TARIFAS CC '!$U$45</f>
        <v>0.82386810577067515</v>
      </c>
      <c r="F239" s="54">
        <f t="shared" si="22"/>
        <v>59.997999999999998</v>
      </c>
      <c r="G239" s="55">
        <f t="shared" si="23"/>
        <v>49.43</v>
      </c>
      <c r="H239" s="49" t="s">
        <v>276</v>
      </c>
      <c r="I239" s="38" t="s">
        <v>435</v>
      </c>
      <c r="J239" s="38">
        <v>59.998047999999997</v>
      </c>
      <c r="K239" s="38"/>
      <c r="L239" s="381"/>
      <c r="M239" s="268"/>
      <c r="N239" s="269"/>
      <c r="O239" s="269"/>
      <c r="P239" s="283"/>
      <c r="Q239" s="269"/>
      <c r="R239" s="269"/>
      <c r="S239" s="38"/>
      <c r="T239" s="38"/>
      <c r="U239" s="38"/>
      <c r="V239" s="38"/>
      <c r="W239" s="38"/>
      <c r="X239" s="38"/>
      <c r="Y239" s="38"/>
      <c r="Z239" s="38"/>
    </row>
    <row r="240" spans="1:26" s="259" customFormat="1" x14ac:dyDescent="0.25">
      <c r="A240" s="280">
        <f t="shared" si="17"/>
        <v>238</v>
      </c>
      <c r="B240" s="277"/>
      <c r="C240" s="52" t="str">
        <f t="shared" si="16"/>
        <v>6UHUNGSHENG</v>
      </c>
      <c r="D240" s="52"/>
      <c r="E240" s="53">
        <f>+'CALCULO TARIFAS CC '!$U$45</f>
        <v>0.82386810577067515</v>
      </c>
      <c r="F240" s="54">
        <f t="shared" si="20"/>
        <v>56.1905</v>
      </c>
      <c r="G240" s="55">
        <f t="shared" si="21"/>
        <v>46.29</v>
      </c>
      <c r="H240" s="49" t="s">
        <v>276</v>
      </c>
      <c r="I240" s="38" t="s">
        <v>687</v>
      </c>
      <c r="J240" s="38">
        <v>56.190542700000002</v>
      </c>
      <c r="K240" s="38"/>
      <c r="L240" s="381"/>
      <c r="M240" s="268"/>
      <c r="N240" s="269"/>
      <c r="O240" s="269"/>
      <c r="P240" s="283"/>
      <c r="Q240" s="269"/>
      <c r="R240" s="269"/>
      <c r="S240" s="38"/>
      <c r="T240" s="38"/>
      <c r="U240" s="38"/>
      <c r="V240" s="38"/>
      <c r="W240" s="38"/>
      <c r="X240" s="38"/>
      <c r="Y240" s="38"/>
      <c r="Z240" s="38"/>
    </row>
    <row r="241" spans="1:26" s="262" customFormat="1" x14ac:dyDescent="0.25">
      <c r="A241" s="280">
        <f t="shared" si="17"/>
        <v>239</v>
      </c>
      <c r="B241" s="277"/>
      <c r="C241" s="52" t="str">
        <f t="shared" si="16"/>
        <v>6UHWESTINCE</v>
      </c>
      <c r="D241" s="52"/>
      <c r="E241" s="53">
        <f>+'CALCULO TARIFAS CC '!$U$45</f>
        <v>0.82386810577067515</v>
      </c>
      <c r="F241" s="54">
        <f t="shared" ref="F241:F257" si="24">ROUND(J241,4)</f>
        <v>84.861099999999993</v>
      </c>
      <c r="G241" s="55">
        <f t="shared" ref="G241:G257" si="25">+ROUND(F241*E241,2)</f>
        <v>69.91</v>
      </c>
      <c r="H241" s="49" t="s">
        <v>276</v>
      </c>
      <c r="I241" s="38" t="s">
        <v>574</v>
      </c>
      <c r="J241" s="38">
        <v>84.861133100000004</v>
      </c>
      <c r="K241" s="38"/>
      <c r="L241" s="381"/>
      <c r="M241" s="268"/>
      <c r="N241" s="269"/>
      <c r="O241" s="269"/>
      <c r="P241" s="283"/>
      <c r="Q241" s="269"/>
      <c r="R241" s="269"/>
      <c r="S241" s="38"/>
      <c r="T241" s="38"/>
      <c r="U241" s="38"/>
      <c r="V241" s="38"/>
      <c r="W241" s="38"/>
      <c r="X241" s="38"/>
      <c r="Y241" s="38"/>
      <c r="Z241" s="38"/>
    </row>
    <row r="242" spans="1:26" s="262" customFormat="1" x14ac:dyDescent="0.25">
      <c r="A242" s="280">
        <f t="shared" si="17"/>
        <v>240</v>
      </c>
      <c r="B242" s="277"/>
      <c r="C242" s="52" t="str">
        <f t="shared" si="16"/>
        <v>6UHWYND_AB</v>
      </c>
      <c r="D242" s="52"/>
      <c r="E242" s="53">
        <f>+'CALCULO TARIFAS CC '!$U$45</f>
        <v>0.82386810577067515</v>
      </c>
      <c r="F242" s="54">
        <f t="shared" si="24"/>
        <v>168.46539999999999</v>
      </c>
      <c r="G242" s="55">
        <f t="shared" si="25"/>
        <v>138.79</v>
      </c>
      <c r="H242" s="49" t="s">
        <v>276</v>
      </c>
      <c r="I242" s="38" t="s">
        <v>464</v>
      </c>
      <c r="J242" s="38">
        <v>168.46543209999999</v>
      </c>
      <c r="K242" s="38"/>
      <c r="L242" s="381"/>
      <c r="M242" s="268"/>
      <c r="N242" s="269"/>
      <c r="O242" s="269"/>
      <c r="P242" s="283"/>
      <c r="Q242" s="269"/>
      <c r="R242" s="269"/>
      <c r="S242" s="38"/>
      <c r="T242" s="38"/>
      <c r="U242" s="38"/>
      <c r="V242" s="38"/>
      <c r="W242" s="38"/>
      <c r="X242" s="38"/>
      <c r="Y242" s="38"/>
      <c r="Z242" s="38"/>
    </row>
    <row r="243" spans="1:26" s="262" customFormat="1" x14ac:dyDescent="0.25">
      <c r="A243" s="280">
        <f t="shared" si="17"/>
        <v>241</v>
      </c>
      <c r="B243" s="277"/>
      <c r="C243" s="52" t="str">
        <f t="shared" si="16"/>
        <v>6UHYATTPLACE</v>
      </c>
      <c r="D243" s="52"/>
      <c r="E243" s="53">
        <f>+'CALCULO TARIFAS CC '!$U$45</f>
        <v>0.82386810577067515</v>
      </c>
      <c r="F243" s="54">
        <f t="shared" si="24"/>
        <v>22.4453</v>
      </c>
      <c r="G243" s="55">
        <f t="shared" si="25"/>
        <v>18.489999999999998</v>
      </c>
      <c r="H243" s="49" t="s">
        <v>276</v>
      </c>
      <c r="I243" s="38" t="s">
        <v>807</v>
      </c>
      <c r="J243" s="38">
        <v>22.4452678</v>
      </c>
      <c r="K243" s="38"/>
      <c r="L243" s="381"/>
      <c r="M243" s="268"/>
      <c r="N243" s="269"/>
      <c r="O243" s="269"/>
      <c r="P243" s="283"/>
      <c r="Q243" s="269"/>
      <c r="R243" s="269"/>
      <c r="S243" s="38"/>
      <c r="T243" s="38"/>
      <c r="U243" s="38"/>
      <c r="V243" s="38"/>
      <c r="W243" s="38"/>
      <c r="X243" s="38"/>
      <c r="Y243" s="38"/>
      <c r="Z243" s="38"/>
    </row>
    <row r="244" spans="1:26" s="262" customFormat="1" x14ac:dyDescent="0.25">
      <c r="A244" s="280">
        <f t="shared" si="17"/>
        <v>242</v>
      </c>
      <c r="B244" s="277"/>
      <c r="C244" s="52" t="str">
        <f t="shared" si="16"/>
        <v>6UICEGAMING</v>
      </c>
      <c r="D244" s="52"/>
      <c r="E244" s="53">
        <f>+'CALCULO TARIFAS CC '!$U$45</f>
        <v>0.82386810577067515</v>
      </c>
      <c r="F244" s="54">
        <f t="shared" si="24"/>
        <v>92.494900000000001</v>
      </c>
      <c r="G244" s="55">
        <f t="shared" si="25"/>
        <v>76.2</v>
      </c>
      <c r="H244" s="49" t="s">
        <v>276</v>
      </c>
      <c r="I244" s="38" t="s">
        <v>514</v>
      </c>
      <c r="J244" s="38">
        <v>92.494883999999999</v>
      </c>
      <c r="K244" s="38"/>
      <c r="L244" s="381"/>
      <c r="M244" s="268"/>
      <c r="N244" s="269"/>
      <c r="O244" s="269"/>
      <c r="P244" s="283"/>
      <c r="Q244" s="269"/>
      <c r="R244" s="269"/>
      <c r="S244" s="38"/>
      <c r="T244" s="38"/>
      <c r="U244" s="38"/>
      <c r="V244" s="38"/>
      <c r="W244" s="38"/>
      <c r="X244" s="38"/>
      <c r="Y244" s="38"/>
      <c r="Z244" s="38"/>
    </row>
    <row r="245" spans="1:26" s="262" customFormat="1" x14ac:dyDescent="0.25">
      <c r="A245" s="280">
        <f t="shared" si="17"/>
        <v>243</v>
      </c>
      <c r="B245" s="277"/>
      <c r="C245" s="52" t="str">
        <f t="shared" si="16"/>
        <v>6GIDEALPMA</v>
      </c>
      <c r="D245" s="52"/>
      <c r="E245" s="53">
        <f>+'CALCULO TARIFAS CC '!$U$45</f>
        <v>0.82386810577067515</v>
      </c>
      <c r="F245" s="54">
        <f t="shared" si="24"/>
        <v>1.2725</v>
      </c>
      <c r="G245" s="55">
        <f t="shared" si="25"/>
        <v>1.05</v>
      </c>
      <c r="H245" s="49" t="s">
        <v>276</v>
      </c>
      <c r="I245" s="38" t="s">
        <v>808</v>
      </c>
      <c r="J245" s="38">
        <v>1.2725310000000001</v>
      </c>
      <c r="K245" s="38"/>
      <c r="L245" s="381"/>
      <c r="M245" s="268"/>
      <c r="N245" s="269"/>
      <c r="O245" s="269"/>
      <c r="P245" s="283"/>
      <c r="Q245" s="269"/>
      <c r="R245" s="269"/>
      <c r="S245" s="38"/>
      <c r="T245" s="38"/>
      <c r="U245" s="38"/>
      <c r="V245" s="38"/>
      <c r="W245" s="38"/>
      <c r="X245" s="38"/>
      <c r="Y245" s="38"/>
      <c r="Z245" s="38"/>
    </row>
    <row r="246" spans="1:26" s="262" customFormat="1" x14ac:dyDescent="0.25">
      <c r="A246" s="280">
        <f t="shared" si="17"/>
        <v>244</v>
      </c>
      <c r="B246" s="277"/>
      <c r="C246" s="52" t="str">
        <f t="shared" si="16"/>
        <v>6UINDAGUAD</v>
      </c>
      <c r="D246" s="52"/>
      <c r="E246" s="53">
        <f>+'CALCULO TARIFAS CC '!$U$45</f>
        <v>0.82386810577067515</v>
      </c>
      <c r="F246" s="54">
        <f t="shared" si="24"/>
        <v>122.9147</v>
      </c>
      <c r="G246" s="55">
        <f t="shared" si="25"/>
        <v>101.27</v>
      </c>
      <c r="H246" s="49" t="s">
        <v>276</v>
      </c>
      <c r="I246" s="38" t="s">
        <v>498</v>
      </c>
      <c r="J246" s="38">
        <v>122.9147088</v>
      </c>
      <c r="K246" s="38"/>
      <c r="L246" s="381"/>
      <c r="M246" s="268"/>
      <c r="N246" s="269"/>
      <c r="O246" s="269"/>
      <c r="P246" s="283"/>
      <c r="Q246" s="269"/>
      <c r="R246" s="269"/>
      <c r="S246" s="38"/>
      <c r="T246" s="38"/>
      <c r="U246" s="38"/>
      <c r="V246" s="38"/>
      <c r="W246" s="38"/>
      <c r="X246" s="38"/>
      <c r="Y246" s="38"/>
      <c r="Z246" s="38"/>
    </row>
    <row r="247" spans="1:26" s="262" customFormat="1" x14ac:dyDescent="0.25">
      <c r="A247" s="280">
        <f t="shared" si="17"/>
        <v>245</v>
      </c>
      <c r="B247" s="277"/>
      <c r="C247" s="52" t="str">
        <f t="shared" si="16"/>
        <v>6UINDALANJ</v>
      </c>
      <c r="D247" s="52"/>
      <c r="E247" s="53">
        <f>+'CALCULO TARIFAS CC '!$U$45</f>
        <v>0.82386810577067515</v>
      </c>
      <c r="F247" s="54">
        <f t="shared" si="24"/>
        <v>144.8219</v>
      </c>
      <c r="G247" s="55">
        <f t="shared" si="25"/>
        <v>119.31</v>
      </c>
      <c r="H247" s="49" t="s">
        <v>276</v>
      </c>
      <c r="I247" s="38" t="s">
        <v>499</v>
      </c>
      <c r="J247" s="38">
        <v>144.8219201</v>
      </c>
      <c r="K247" s="38"/>
      <c r="L247" s="381"/>
      <c r="M247" s="268"/>
      <c r="N247" s="269"/>
      <c r="O247" s="269"/>
      <c r="P247" s="283"/>
      <c r="Q247" s="269"/>
      <c r="R247" s="269"/>
      <c r="S247" s="38"/>
      <c r="T247" s="38"/>
      <c r="U247" s="38"/>
      <c r="V247" s="38"/>
      <c r="W247" s="38"/>
      <c r="X247" s="38"/>
      <c r="Y247" s="38"/>
      <c r="Z247" s="38"/>
    </row>
    <row r="248" spans="1:26" s="262" customFormat="1" x14ac:dyDescent="0.25">
      <c r="A248" s="280">
        <f t="shared" si="17"/>
        <v>246</v>
      </c>
      <c r="B248" s="277"/>
      <c r="C248" s="52" t="str">
        <f t="shared" si="16"/>
        <v>6UINDASA</v>
      </c>
      <c r="D248" s="52"/>
      <c r="E248" s="53">
        <f>+'CALCULO TARIFAS CC '!$U$45</f>
        <v>0.82386810577067515</v>
      </c>
      <c r="F248" s="54">
        <f t="shared" si="24"/>
        <v>165.25200000000001</v>
      </c>
      <c r="G248" s="55">
        <f t="shared" si="25"/>
        <v>136.15</v>
      </c>
      <c r="H248" s="49" t="s">
        <v>276</v>
      </c>
      <c r="I248" s="38" t="s">
        <v>649</v>
      </c>
      <c r="J248" s="38">
        <v>165.2520145</v>
      </c>
      <c r="K248" s="38"/>
      <c r="L248" s="381"/>
      <c r="M248" s="268"/>
      <c r="N248" s="269"/>
      <c r="O248" s="269"/>
      <c r="P248" s="283"/>
      <c r="Q248" s="269"/>
      <c r="R248" s="269"/>
      <c r="S248" s="38"/>
      <c r="T248" s="38"/>
      <c r="U248" s="38"/>
      <c r="V248" s="38"/>
      <c r="W248" s="38"/>
      <c r="X248" s="38"/>
      <c r="Y248" s="38"/>
      <c r="Z248" s="38"/>
    </row>
    <row r="249" spans="1:26" s="262" customFormat="1" x14ac:dyDescent="0.25">
      <c r="A249" s="280">
        <f t="shared" si="17"/>
        <v>247</v>
      </c>
      <c r="B249" s="277"/>
      <c r="C249" s="52" t="str">
        <f t="shared" si="16"/>
        <v>6UINDESPIN</v>
      </c>
      <c r="D249" s="52"/>
      <c r="E249" s="53">
        <f>+'CALCULO TARIFAS CC '!$U$45</f>
        <v>0.82386810577067515</v>
      </c>
      <c r="F249" s="54">
        <f t="shared" si="24"/>
        <v>119.0669</v>
      </c>
      <c r="G249" s="55">
        <f t="shared" si="25"/>
        <v>98.1</v>
      </c>
      <c r="H249" s="49" t="s">
        <v>276</v>
      </c>
      <c r="I249" s="38" t="s">
        <v>497</v>
      </c>
      <c r="J249" s="38">
        <v>119.0669473</v>
      </c>
      <c r="K249" s="38"/>
      <c r="L249" s="381"/>
      <c r="M249" s="268"/>
      <c r="N249" s="269"/>
      <c r="O249" s="269"/>
      <c r="P249" s="283"/>
      <c r="Q249" s="269"/>
      <c r="R249" s="269"/>
      <c r="S249" s="38"/>
      <c r="T249" s="38"/>
      <c r="U249" s="38"/>
      <c r="V249" s="38"/>
      <c r="W249" s="38"/>
      <c r="X249" s="38"/>
      <c r="Y249" s="38"/>
      <c r="Z249" s="38"/>
    </row>
    <row r="250" spans="1:26" s="262" customFormat="1" x14ac:dyDescent="0.25">
      <c r="A250" s="280">
        <f t="shared" si="17"/>
        <v>248</v>
      </c>
      <c r="B250" s="277"/>
      <c r="C250" s="52" t="str">
        <f t="shared" si="16"/>
        <v>6UINDOFIC</v>
      </c>
      <c r="D250" s="52"/>
      <c r="E250" s="53">
        <f>+'CALCULO TARIFAS CC '!$U$45</f>
        <v>0.82386810577067515</v>
      </c>
      <c r="F250" s="54">
        <f t="shared" si="24"/>
        <v>56.9129</v>
      </c>
      <c r="G250" s="55">
        <f t="shared" si="25"/>
        <v>46.89</v>
      </c>
      <c r="H250" s="49" t="s">
        <v>276</v>
      </c>
      <c r="I250" s="38" t="s">
        <v>492</v>
      </c>
      <c r="J250" s="38">
        <v>56.9128671</v>
      </c>
      <c r="K250" s="38"/>
      <c r="L250" s="381"/>
      <c r="M250" s="268"/>
      <c r="N250" s="269"/>
      <c r="O250" s="269"/>
      <c r="P250" s="283"/>
      <c r="Q250" s="269"/>
      <c r="R250" s="269"/>
      <c r="S250" s="38"/>
      <c r="T250" s="38"/>
      <c r="U250" s="38"/>
      <c r="V250" s="38"/>
      <c r="W250" s="38"/>
      <c r="X250" s="38"/>
      <c r="Y250" s="38"/>
      <c r="Z250" s="38"/>
    </row>
    <row r="251" spans="1:26" s="262" customFormat="1" x14ac:dyDescent="0.25">
      <c r="A251" s="280">
        <f t="shared" si="17"/>
        <v>249</v>
      </c>
      <c r="B251" s="277"/>
      <c r="C251" s="52" t="str">
        <f t="shared" si="16"/>
        <v>6UINDTOC</v>
      </c>
      <c r="D251" s="52"/>
      <c r="E251" s="53">
        <f>+'CALCULO TARIFAS CC '!$U$45</f>
        <v>0.82386810577067515</v>
      </c>
      <c r="F251" s="54">
        <f t="shared" si="24"/>
        <v>93.954400000000007</v>
      </c>
      <c r="G251" s="55">
        <f t="shared" si="25"/>
        <v>77.41</v>
      </c>
      <c r="H251" s="49" t="s">
        <v>276</v>
      </c>
      <c r="I251" s="38" t="s">
        <v>486</v>
      </c>
      <c r="J251" s="38">
        <v>93.954389199999994</v>
      </c>
      <c r="K251" s="38"/>
      <c r="L251" s="381"/>
      <c r="M251" s="268"/>
      <c r="N251" s="269"/>
      <c r="O251" s="269"/>
      <c r="P251" s="283"/>
      <c r="Q251" s="269"/>
      <c r="R251" s="269"/>
      <c r="S251" s="38"/>
      <c r="T251" s="38"/>
      <c r="U251" s="38"/>
      <c r="V251" s="38"/>
      <c r="W251" s="38"/>
      <c r="X251" s="38"/>
      <c r="Y251" s="38"/>
      <c r="Z251" s="38"/>
    </row>
    <row r="252" spans="1:26" s="262" customFormat="1" x14ac:dyDescent="0.25">
      <c r="A252" s="280">
        <f t="shared" si="17"/>
        <v>250</v>
      </c>
      <c r="B252" s="277"/>
      <c r="C252" s="52" t="str">
        <f t="shared" si="16"/>
        <v>6UINVMEREG</v>
      </c>
      <c r="D252" s="52"/>
      <c r="E252" s="53">
        <f>+'CALCULO TARIFAS CC '!$U$45</f>
        <v>0.82386810577067515</v>
      </c>
      <c r="F252" s="54">
        <f t="shared" si="24"/>
        <v>47.652700000000003</v>
      </c>
      <c r="G252" s="55">
        <f t="shared" si="25"/>
        <v>39.26</v>
      </c>
      <c r="H252" s="49" t="s">
        <v>276</v>
      </c>
      <c r="I252" s="38" t="s">
        <v>598</v>
      </c>
      <c r="J252" s="38">
        <v>47.652738100000001</v>
      </c>
      <c r="K252" s="38"/>
      <c r="L252" s="381"/>
      <c r="M252" s="268"/>
      <c r="N252" s="269"/>
      <c r="O252" s="269"/>
      <c r="P252" s="283"/>
      <c r="Q252" s="269"/>
      <c r="R252" s="269"/>
      <c r="S252" s="38"/>
      <c r="T252" s="38"/>
      <c r="U252" s="38"/>
      <c r="V252" s="38"/>
      <c r="W252" s="38"/>
      <c r="X252" s="38"/>
      <c r="Y252" s="38"/>
      <c r="Z252" s="38"/>
    </row>
    <row r="253" spans="1:26" s="262" customFormat="1" x14ac:dyDescent="0.25">
      <c r="A253" s="280">
        <f t="shared" si="17"/>
        <v>251</v>
      </c>
      <c r="B253" s="277"/>
      <c r="C253" s="52" t="str">
        <f t="shared" si="16"/>
        <v>6UIPEL</v>
      </c>
      <c r="D253" s="52"/>
      <c r="E253" s="53">
        <f>+'CALCULO TARIFAS CC '!$U$45</f>
        <v>0.82386810577067515</v>
      </c>
      <c r="F253" s="54">
        <f t="shared" si="24"/>
        <v>784.35339999999997</v>
      </c>
      <c r="G253" s="55">
        <f t="shared" si="25"/>
        <v>646.20000000000005</v>
      </c>
      <c r="H253" s="49" t="s">
        <v>276</v>
      </c>
      <c r="I253" s="38" t="s">
        <v>51</v>
      </c>
      <c r="J253" s="38">
        <v>784.35336649999999</v>
      </c>
      <c r="K253" s="38"/>
      <c r="L253" s="381"/>
      <c r="M253" s="268"/>
      <c r="N253" s="269"/>
      <c r="O253" s="269"/>
      <c r="P253" s="283"/>
      <c r="Q253" s="269"/>
      <c r="R253" s="269"/>
      <c r="S253" s="38"/>
      <c r="T253" s="38"/>
      <c r="U253" s="38"/>
      <c r="V253" s="38"/>
      <c r="W253" s="38"/>
      <c r="X253" s="38"/>
      <c r="Y253" s="38"/>
      <c r="Z253" s="38"/>
    </row>
    <row r="254" spans="1:26" s="262" customFormat="1" x14ac:dyDescent="0.25">
      <c r="A254" s="280">
        <f t="shared" si="17"/>
        <v>252</v>
      </c>
      <c r="B254" s="277"/>
      <c r="C254" s="52" t="str">
        <f t="shared" si="16"/>
        <v>6UIRONTOWER</v>
      </c>
      <c r="D254" s="52"/>
      <c r="E254" s="53">
        <f>+'CALCULO TARIFAS CC '!$U$45</f>
        <v>0.82386810577067515</v>
      </c>
      <c r="F254" s="54">
        <f t="shared" si="24"/>
        <v>286.9939</v>
      </c>
      <c r="G254" s="55">
        <f t="shared" si="25"/>
        <v>236.45</v>
      </c>
      <c r="H254" s="49" t="s">
        <v>276</v>
      </c>
      <c r="I254" s="38" t="s">
        <v>521</v>
      </c>
      <c r="J254" s="38">
        <v>286.9939273</v>
      </c>
      <c r="K254" s="38"/>
      <c r="L254" s="381"/>
      <c r="M254" s="268"/>
      <c r="N254" s="269"/>
      <c r="O254" s="269"/>
      <c r="P254" s="283"/>
      <c r="Q254" s="269"/>
      <c r="R254" s="269"/>
      <c r="S254" s="38"/>
      <c r="T254" s="38"/>
      <c r="U254" s="38"/>
      <c r="V254" s="38"/>
      <c r="W254" s="38"/>
      <c r="X254" s="38"/>
      <c r="Y254" s="38"/>
      <c r="Z254" s="38"/>
    </row>
    <row r="255" spans="1:26" s="262" customFormat="1" x14ac:dyDescent="0.25">
      <c r="A255" s="280">
        <f t="shared" si="17"/>
        <v>253</v>
      </c>
      <c r="B255" s="277"/>
      <c r="C255" s="52" t="str">
        <f t="shared" si="16"/>
        <v>6UISTORAGE</v>
      </c>
      <c r="D255" s="52"/>
      <c r="E255" s="53">
        <f>+'CALCULO TARIFAS CC '!$U$45</f>
        <v>0.82386810577067515</v>
      </c>
      <c r="F255" s="54">
        <f t="shared" si="24"/>
        <v>53.806199999999997</v>
      </c>
      <c r="G255" s="55">
        <f t="shared" si="25"/>
        <v>44.33</v>
      </c>
      <c r="H255" s="49" t="s">
        <v>276</v>
      </c>
      <c r="I255" s="38" t="s">
        <v>714</v>
      </c>
      <c r="J255" s="38">
        <v>53.806241399999998</v>
      </c>
      <c r="K255" s="38"/>
      <c r="L255" s="381"/>
      <c r="M255" s="268"/>
      <c r="N255" s="269"/>
      <c r="O255" s="269"/>
      <c r="P255" s="283"/>
      <c r="Q255" s="269"/>
      <c r="R255" s="269"/>
      <c r="S255" s="38"/>
      <c r="T255" s="38"/>
      <c r="U255" s="38"/>
      <c r="V255" s="38"/>
      <c r="W255" s="38"/>
      <c r="X255" s="38"/>
      <c r="Y255" s="38"/>
      <c r="Z255" s="38"/>
    </row>
    <row r="256" spans="1:26" s="262" customFormat="1" x14ac:dyDescent="0.25">
      <c r="A256" s="280">
        <f t="shared" si="17"/>
        <v>254</v>
      </c>
      <c r="B256" s="277"/>
      <c r="C256" s="52" t="str">
        <f t="shared" si="16"/>
        <v>6UJERUSALEM</v>
      </c>
      <c r="D256" s="52"/>
      <c r="E256" s="53">
        <f>+'CALCULO TARIFAS CC '!$U$45</f>
        <v>0.82386810577067515</v>
      </c>
      <c r="F256" s="54">
        <f t="shared" si="24"/>
        <v>92.35</v>
      </c>
      <c r="G256" s="55">
        <f t="shared" si="25"/>
        <v>76.08</v>
      </c>
      <c r="H256" s="49" t="s">
        <v>276</v>
      </c>
      <c r="I256" s="38" t="s">
        <v>809</v>
      </c>
      <c r="J256" s="38">
        <v>92.349964600000007</v>
      </c>
      <c r="K256" s="38"/>
      <c r="L256" s="381"/>
      <c r="M256" s="268"/>
      <c r="N256" s="269"/>
      <c r="O256" s="269"/>
      <c r="P256" s="283"/>
      <c r="Q256" s="269"/>
      <c r="R256" s="269"/>
      <c r="S256" s="38"/>
      <c r="T256" s="38"/>
      <c r="U256" s="38"/>
      <c r="V256" s="38"/>
      <c r="W256" s="38"/>
      <c r="X256" s="38"/>
      <c r="Y256" s="38"/>
      <c r="Z256" s="38"/>
    </row>
    <row r="257" spans="1:26" s="259" customFormat="1" x14ac:dyDescent="0.25">
      <c r="A257" s="280">
        <f t="shared" si="17"/>
        <v>255</v>
      </c>
      <c r="B257" s="277"/>
      <c r="C257" s="52" t="str">
        <f t="shared" si="16"/>
        <v>6GJINRO</v>
      </c>
      <c r="D257" s="52"/>
      <c r="E257" s="53">
        <f>+'CALCULO TARIFAS CC '!$U$45</f>
        <v>0.82386810577067515</v>
      </c>
      <c r="F257" s="54">
        <f t="shared" si="24"/>
        <v>265.72140000000002</v>
      </c>
      <c r="G257" s="55">
        <f t="shared" si="25"/>
        <v>218.92</v>
      </c>
      <c r="H257" s="49" t="s">
        <v>276</v>
      </c>
      <c r="I257" s="38" t="s">
        <v>30</v>
      </c>
      <c r="J257" s="38">
        <v>265.72136399999999</v>
      </c>
      <c r="K257" s="38"/>
      <c r="L257" s="381"/>
      <c r="M257" s="268"/>
      <c r="N257" s="269"/>
      <c r="O257" s="269"/>
      <c r="P257" s="283"/>
      <c r="Q257" s="269"/>
      <c r="R257" s="269"/>
      <c r="S257" s="38"/>
      <c r="T257" s="38"/>
      <c r="U257" s="38"/>
      <c r="V257" s="38"/>
      <c r="W257" s="38"/>
      <c r="X257" s="38"/>
      <c r="Y257" s="38"/>
      <c r="Z257" s="38"/>
    </row>
    <row r="258" spans="1:26" s="259" customFormat="1" x14ac:dyDescent="0.25">
      <c r="A258" s="280">
        <f t="shared" si="17"/>
        <v>256</v>
      </c>
      <c r="B258" s="277"/>
      <c r="C258" s="52" t="str">
        <f t="shared" si="16"/>
        <v>6UJPRADO</v>
      </c>
      <c r="D258" s="52"/>
      <c r="E258" s="53">
        <f>+'CALCULO TARIFAS CC '!$U$45</f>
        <v>0.82386810577067515</v>
      </c>
      <c r="F258" s="54">
        <f t="shared" si="20"/>
        <v>592.15639999999996</v>
      </c>
      <c r="G258" s="55">
        <f t="shared" si="21"/>
        <v>487.86</v>
      </c>
      <c r="H258" s="49" t="s">
        <v>276</v>
      </c>
      <c r="I258" s="38" t="s">
        <v>396</v>
      </c>
      <c r="J258" s="38">
        <v>592.15640970000004</v>
      </c>
      <c r="K258" s="38"/>
      <c r="L258" s="381"/>
      <c r="M258" s="268"/>
      <c r="N258" s="269"/>
      <c r="O258" s="269"/>
      <c r="P258" s="283"/>
      <c r="Q258" s="269"/>
      <c r="R258" s="269"/>
      <c r="S258" s="38"/>
      <c r="T258" s="38"/>
      <c r="U258" s="38"/>
      <c r="V258" s="38"/>
      <c r="W258" s="38"/>
      <c r="X258" s="38"/>
      <c r="Y258" s="38"/>
      <c r="Z258" s="38"/>
    </row>
    <row r="259" spans="1:26" s="259" customFormat="1" x14ac:dyDescent="0.25">
      <c r="A259" s="280">
        <f t="shared" si="17"/>
        <v>257</v>
      </c>
      <c r="B259" s="277"/>
      <c r="C259" s="52" t="str">
        <f t="shared" ref="C259:C322" si="26">I259</f>
        <v>6UKFCBETANIA</v>
      </c>
      <c r="D259" s="52"/>
      <c r="E259" s="53">
        <f>+'CALCULO TARIFAS CC '!$U$45</f>
        <v>0.82386810577067515</v>
      </c>
      <c r="F259" s="54">
        <f t="shared" si="20"/>
        <v>46.506100000000004</v>
      </c>
      <c r="G259" s="55">
        <f t="shared" si="21"/>
        <v>38.31</v>
      </c>
      <c r="H259" s="49" t="s">
        <v>276</v>
      </c>
      <c r="I259" s="38" t="s">
        <v>810</v>
      </c>
      <c r="J259" s="38">
        <v>46.506065300000003</v>
      </c>
      <c r="K259" s="38"/>
      <c r="L259" s="381"/>
      <c r="M259" s="268"/>
      <c r="N259" s="269"/>
      <c r="O259" s="269"/>
      <c r="P259" s="283"/>
      <c r="Q259" s="269"/>
      <c r="R259" s="269"/>
      <c r="S259" s="38"/>
      <c r="T259" s="38"/>
      <c r="U259" s="38"/>
      <c r="V259" s="38"/>
      <c r="W259" s="38"/>
      <c r="X259" s="38"/>
      <c r="Y259" s="38"/>
      <c r="Z259" s="38"/>
    </row>
    <row r="260" spans="1:26" s="259" customFormat="1" x14ac:dyDescent="0.25">
      <c r="A260" s="280">
        <f t="shared" si="17"/>
        <v>258</v>
      </c>
      <c r="B260" s="277"/>
      <c r="C260" s="52" t="str">
        <f t="shared" si="26"/>
        <v>6UKFCCENTEN</v>
      </c>
      <c r="D260" s="52"/>
      <c r="E260" s="53">
        <f>+'CALCULO TARIFAS CC '!$U$45</f>
        <v>0.82386810577067515</v>
      </c>
      <c r="F260" s="54">
        <f t="shared" si="20"/>
        <v>23.664899999999999</v>
      </c>
      <c r="G260" s="55">
        <f t="shared" si="21"/>
        <v>19.5</v>
      </c>
      <c r="H260" s="49" t="s">
        <v>276</v>
      </c>
      <c r="I260" s="38" t="s">
        <v>856</v>
      </c>
      <c r="J260" s="38">
        <v>23.664914899999999</v>
      </c>
      <c r="K260" s="38"/>
      <c r="L260" s="381"/>
      <c r="M260" s="268"/>
      <c r="N260" s="269"/>
      <c r="O260" s="269"/>
      <c r="P260" s="283"/>
      <c r="Q260" s="269"/>
      <c r="R260" s="269"/>
      <c r="S260" s="38"/>
      <c r="T260" s="38"/>
      <c r="U260" s="38"/>
      <c r="V260" s="38"/>
      <c r="W260" s="38"/>
      <c r="X260" s="38"/>
      <c r="Y260" s="38"/>
      <c r="Z260" s="38"/>
    </row>
    <row r="261" spans="1:26" s="259" customFormat="1" x14ac:dyDescent="0.25">
      <c r="A261" s="280">
        <f t="shared" ref="A261:A324" si="27">A260+1</f>
        <v>259</v>
      </c>
      <c r="B261" s="277"/>
      <c r="C261" s="52" t="str">
        <f t="shared" si="26"/>
        <v>6UKFCCHITRE</v>
      </c>
      <c r="D261" s="52"/>
      <c r="E261" s="53">
        <f>+'CALCULO TARIFAS CC '!$U$45</f>
        <v>0.82386810577067515</v>
      </c>
      <c r="F261" s="54">
        <f t="shared" si="20"/>
        <v>4.2572000000000001</v>
      </c>
      <c r="G261" s="55">
        <f t="shared" si="21"/>
        <v>3.51</v>
      </c>
      <c r="H261" s="49" t="s">
        <v>276</v>
      </c>
      <c r="I261" s="38" t="s">
        <v>746</v>
      </c>
      <c r="J261" s="38">
        <v>4.2571858000000002</v>
      </c>
      <c r="K261" s="38"/>
      <c r="L261" s="381"/>
      <c r="M261" s="268"/>
      <c r="N261" s="269"/>
      <c r="O261" s="269"/>
      <c r="P261" s="283"/>
      <c r="Q261" s="269"/>
      <c r="R261" s="269"/>
      <c r="S261" s="38"/>
      <c r="T261" s="38"/>
      <c r="U261" s="38"/>
      <c r="V261" s="38"/>
      <c r="W261" s="38"/>
      <c r="X261" s="38"/>
      <c r="Y261" s="38"/>
      <c r="Z261" s="38"/>
    </row>
    <row r="262" spans="1:26" s="259" customFormat="1" x14ac:dyDescent="0.25">
      <c r="A262" s="280">
        <f t="shared" si="27"/>
        <v>260</v>
      </c>
      <c r="B262" s="277"/>
      <c r="C262" s="52" t="str">
        <f t="shared" si="26"/>
        <v>6UKFCMANANIT</v>
      </c>
      <c r="D262" s="52"/>
      <c r="E262" s="53">
        <f>+'CALCULO TARIFAS CC '!$U$45</f>
        <v>0.82386810577067515</v>
      </c>
      <c r="F262" s="54">
        <f t="shared" si="20"/>
        <v>5.7234999999999996</v>
      </c>
      <c r="G262" s="55">
        <f t="shared" si="21"/>
        <v>4.72</v>
      </c>
      <c r="H262" s="49" t="s">
        <v>276</v>
      </c>
      <c r="I262" s="38" t="s">
        <v>811</v>
      </c>
      <c r="J262" s="38">
        <v>5.7234962999999999</v>
      </c>
      <c r="K262" s="38"/>
      <c r="L262" s="381"/>
      <c r="M262" s="268"/>
      <c r="N262" s="269"/>
      <c r="O262" s="269"/>
      <c r="P262" s="283"/>
      <c r="Q262" s="269"/>
      <c r="R262" s="269"/>
      <c r="S262" s="38"/>
      <c r="T262" s="38"/>
      <c r="U262" s="38"/>
      <c r="V262" s="38"/>
      <c r="W262" s="38"/>
      <c r="X262" s="38"/>
      <c r="Y262" s="38"/>
      <c r="Z262" s="38"/>
    </row>
    <row r="263" spans="1:26" x14ac:dyDescent="0.25">
      <c r="A263" s="280">
        <f t="shared" si="27"/>
        <v>261</v>
      </c>
      <c r="B263" s="277"/>
      <c r="C263" s="52" t="str">
        <f t="shared" si="26"/>
        <v>6UKFCSTGO</v>
      </c>
      <c r="D263" s="52"/>
      <c r="E263" s="53">
        <f>+'CALCULO TARIFAS CC '!$U$45</f>
        <v>0.82386810577067515</v>
      </c>
      <c r="F263" s="54">
        <f t="shared" si="6"/>
        <v>10.3591</v>
      </c>
      <c r="G263" s="55">
        <f t="shared" si="2"/>
        <v>8.5299999999999994</v>
      </c>
      <c r="H263" s="49" t="s">
        <v>276</v>
      </c>
      <c r="I263" s="38" t="s">
        <v>857</v>
      </c>
      <c r="J263" s="38">
        <v>10.359121399999999</v>
      </c>
      <c r="K263" s="38"/>
      <c r="L263" s="381"/>
      <c r="M263" s="268"/>
      <c r="N263" s="269"/>
      <c r="O263" s="269"/>
      <c r="P263" s="283"/>
      <c r="Q263" s="269"/>
      <c r="R263" s="269"/>
      <c r="S263" s="38"/>
      <c r="T263" s="38"/>
      <c r="U263" s="38"/>
      <c r="V263" s="38"/>
      <c r="W263" s="38"/>
      <c r="X263" s="38"/>
      <c r="Y263" s="38"/>
      <c r="Z263" s="38"/>
    </row>
    <row r="264" spans="1:26" x14ac:dyDescent="0.25">
      <c r="A264" s="280">
        <f t="shared" si="27"/>
        <v>262</v>
      </c>
      <c r="B264" s="277"/>
      <c r="C264" s="52" t="str">
        <f t="shared" si="26"/>
        <v>6ULAPRENSA</v>
      </c>
      <c r="D264" s="52"/>
      <c r="E264" s="53">
        <f>+'CALCULO TARIFAS CC '!$U$45</f>
        <v>0.82386810577067515</v>
      </c>
      <c r="F264" s="54">
        <f t="shared" si="6"/>
        <v>172.84389999999999</v>
      </c>
      <c r="G264" s="55">
        <f t="shared" si="2"/>
        <v>142.4</v>
      </c>
      <c r="H264" s="49" t="s">
        <v>276</v>
      </c>
      <c r="I264" s="38" t="s">
        <v>355</v>
      </c>
      <c r="J264" s="38">
        <v>172.8438635</v>
      </c>
      <c r="K264" s="38"/>
      <c r="L264" s="381"/>
      <c r="M264" s="268"/>
      <c r="N264" s="269"/>
      <c r="O264" s="269"/>
      <c r="P264" s="283"/>
      <c r="Q264" s="269"/>
      <c r="R264" s="269"/>
      <c r="S264" s="38"/>
      <c r="T264" s="38"/>
      <c r="U264" s="38"/>
      <c r="V264" s="38"/>
      <c r="W264" s="38"/>
      <c r="X264" s="38"/>
      <c r="Y264" s="38"/>
      <c r="Z264" s="38"/>
    </row>
    <row r="265" spans="1:26" x14ac:dyDescent="0.25">
      <c r="A265" s="280">
        <f t="shared" si="27"/>
        <v>263</v>
      </c>
      <c r="B265" s="277"/>
      <c r="C265" s="52" t="str">
        <f t="shared" si="26"/>
        <v>6ULAVERY96</v>
      </c>
      <c r="D265" s="52"/>
      <c r="E265" s="53">
        <f>+'CALCULO TARIFAS CC '!$U$45</f>
        <v>0.82386810577067515</v>
      </c>
      <c r="F265" s="54">
        <f t="shared" ref="F265:F272" si="28">ROUND(J265,4)</f>
        <v>204.86709999999999</v>
      </c>
      <c r="G265" s="55">
        <f t="shared" si="2"/>
        <v>168.78</v>
      </c>
      <c r="H265" s="49" t="s">
        <v>276</v>
      </c>
      <c r="I265" s="38" t="s">
        <v>575</v>
      </c>
      <c r="J265" s="38">
        <v>204.8670578</v>
      </c>
      <c r="K265" s="38"/>
      <c r="L265" s="381"/>
      <c r="M265" s="268"/>
      <c r="N265" s="269"/>
      <c r="O265" s="269"/>
      <c r="P265" s="283"/>
      <c r="Q265" s="269"/>
      <c r="R265" s="269"/>
      <c r="S265" s="38"/>
      <c r="T265" s="38"/>
      <c r="U265" s="38"/>
      <c r="V265" s="38"/>
      <c r="W265" s="38"/>
      <c r="X265" s="38"/>
      <c r="Y265" s="38"/>
      <c r="Z265" s="38"/>
    </row>
    <row r="266" spans="1:26" s="203" customFormat="1" x14ac:dyDescent="0.25">
      <c r="A266" s="280">
        <f t="shared" si="27"/>
        <v>264</v>
      </c>
      <c r="B266" s="277"/>
      <c r="C266" s="52" t="str">
        <f t="shared" si="26"/>
        <v>6ULEMERID</v>
      </c>
      <c r="D266" s="52"/>
      <c r="E266" s="53">
        <f>+'CALCULO TARIFAS CC '!$U$45</f>
        <v>0.82386810577067515</v>
      </c>
      <c r="F266" s="54">
        <f t="shared" si="28"/>
        <v>124.3223</v>
      </c>
      <c r="G266" s="55">
        <f t="shared" si="2"/>
        <v>102.43</v>
      </c>
      <c r="H266" s="49" t="s">
        <v>276</v>
      </c>
      <c r="I266" s="38" t="s">
        <v>480</v>
      </c>
      <c r="J266" s="38">
        <v>124.3222629</v>
      </c>
      <c r="K266" s="38"/>
      <c r="L266" s="381"/>
      <c r="M266" s="268"/>
      <c r="N266" s="269"/>
      <c r="O266" s="269"/>
      <c r="P266" s="283"/>
      <c r="Q266" s="269"/>
      <c r="R266" s="269"/>
      <c r="S266" s="38"/>
      <c r="T266" s="38"/>
      <c r="U266" s="38"/>
      <c r="V266" s="38"/>
      <c r="W266" s="38"/>
      <c r="X266" s="38"/>
      <c r="Y266" s="38"/>
      <c r="Z266" s="38"/>
    </row>
    <row r="267" spans="1:26" s="203" customFormat="1" x14ac:dyDescent="0.25">
      <c r="A267" s="280">
        <f t="shared" si="27"/>
        <v>265</v>
      </c>
      <c r="B267" s="277"/>
      <c r="C267" s="52" t="str">
        <f t="shared" si="26"/>
        <v>6ULONDONREG</v>
      </c>
      <c r="D267" s="52"/>
      <c r="E267" s="53">
        <f>+'CALCULO TARIFAS CC '!$U$45</f>
        <v>0.82386810577067515</v>
      </c>
      <c r="F267" s="54">
        <f t="shared" si="28"/>
        <v>198.02340000000001</v>
      </c>
      <c r="G267" s="55">
        <f t="shared" si="2"/>
        <v>163.15</v>
      </c>
      <c r="H267" s="49" t="s">
        <v>276</v>
      </c>
      <c r="I267" s="38" t="s">
        <v>650</v>
      </c>
      <c r="J267" s="38">
        <v>198.02343519999999</v>
      </c>
      <c r="K267" s="38"/>
      <c r="L267" s="381"/>
      <c r="M267" s="268"/>
      <c r="N267" s="269"/>
      <c r="O267" s="269"/>
      <c r="P267" s="283"/>
      <c r="Q267" s="269"/>
      <c r="R267" s="269"/>
      <c r="S267" s="38"/>
      <c r="T267" s="38"/>
      <c r="U267" s="38"/>
      <c r="V267" s="38"/>
      <c r="W267" s="38"/>
      <c r="X267" s="38"/>
      <c r="Y267" s="38"/>
      <c r="Z267" s="38"/>
    </row>
    <row r="268" spans="1:26" s="203" customFormat="1" x14ac:dyDescent="0.25">
      <c r="A268" s="280">
        <f t="shared" si="27"/>
        <v>266</v>
      </c>
      <c r="B268" s="277"/>
      <c r="C268" s="52" t="str">
        <f t="shared" si="26"/>
        <v>6ULUNAB</v>
      </c>
      <c r="D268" s="52"/>
      <c r="E268" s="53">
        <f>+'CALCULO TARIFAS CC '!$U$45</f>
        <v>0.82386810577067515</v>
      </c>
      <c r="F268" s="54">
        <f t="shared" si="28"/>
        <v>338.33539999999999</v>
      </c>
      <c r="G268" s="55">
        <f t="shared" si="2"/>
        <v>278.74</v>
      </c>
      <c r="H268" s="49" t="s">
        <v>276</v>
      </c>
      <c r="I268" s="38" t="s">
        <v>576</v>
      </c>
      <c r="J268" s="38">
        <v>338.33543329999998</v>
      </c>
      <c r="K268" s="38"/>
      <c r="L268" s="381"/>
      <c r="M268" s="268"/>
      <c r="N268" s="269"/>
      <c r="O268" s="269"/>
      <c r="P268" s="283"/>
      <c r="Q268" s="269"/>
      <c r="R268" s="269"/>
      <c r="S268" s="38"/>
      <c r="T268" s="38"/>
      <c r="U268" s="38"/>
      <c r="V268" s="38"/>
      <c r="W268" s="38"/>
      <c r="X268" s="38"/>
      <c r="Y268" s="38"/>
      <c r="Z268" s="38"/>
    </row>
    <row r="269" spans="1:26" s="203" customFormat="1" x14ac:dyDescent="0.25">
      <c r="A269" s="280">
        <f t="shared" si="27"/>
        <v>267</v>
      </c>
      <c r="B269" s="277"/>
      <c r="C269" s="52" t="str">
        <f t="shared" si="26"/>
        <v>6UMACELLO</v>
      </c>
      <c r="D269" s="52"/>
      <c r="E269" s="53">
        <f>+'CALCULO TARIFAS CC '!$U$45</f>
        <v>0.82386810577067515</v>
      </c>
      <c r="F269" s="54">
        <f t="shared" si="28"/>
        <v>575.53909999999996</v>
      </c>
      <c r="G269" s="55">
        <f t="shared" si="2"/>
        <v>474.17</v>
      </c>
      <c r="H269" s="49" t="s">
        <v>276</v>
      </c>
      <c r="I269" s="38" t="s">
        <v>394</v>
      </c>
      <c r="J269" s="38">
        <v>575.53905280000004</v>
      </c>
      <c r="K269" s="38"/>
      <c r="L269" s="381"/>
      <c r="M269" s="268"/>
      <c r="N269" s="269"/>
      <c r="O269" s="269"/>
      <c r="P269" s="283"/>
      <c r="Q269" s="269"/>
      <c r="R269" s="269"/>
      <c r="S269" s="38"/>
      <c r="T269" s="38"/>
      <c r="U269" s="38"/>
      <c r="V269" s="38"/>
      <c r="W269" s="38"/>
      <c r="X269" s="38"/>
      <c r="Y269" s="38"/>
      <c r="Z269" s="38"/>
    </row>
    <row r="270" spans="1:26" x14ac:dyDescent="0.25">
      <c r="A270" s="280">
        <f t="shared" si="27"/>
        <v>268</v>
      </c>
      <c r="B270" s="277"/>
      <c r="C270" s="52" t="str">
        <f t="shared" si="26"/>
        <v>6UMAJESTIC</v>
      </c>
      <c r="D270" s="52"/>
      <c r="E270" s="53">
        <f>+'CALCULO TARIFAS CC '!$U$45</f>
        <v>0.82386810577067515</v>
      </c>
      <c r="F270" s="54">
        <f t="shared" si="28"/>
        <v>84.628299999999996</v>
      </c>
      <c r="G270" s="55">
        <f t="shared" si="2"/>
        <v>69.72</v>
      </c>
      <c r="H270" s="49" t="s">
        <v>276</v>
      </c>
      <c r="I270" s="38" t="s">
        <v>515</v>
      </c>
      <c r="J270" s="38">
        <v>84.628271499999997</v>
      </c>
      <c r="K270" s="38"/>
      <c r="L270" s="381"/>
      <c r="M270" s="268"/>
      <c r="N270" s="269"/>
      <c r="O270" s="269"/>
      <c r="P270" s="283"/>
      <c r="Q270" s="269"/>
      <c r="R270" s="269"/>
      <c r="S270" s="38"/>
      <c r="T270" s="38"/>
      <c r="U270" s="38"/>
      <c r="V270" s="38"/>
      <c r="W270" s="38"/>
      <c r="X270" s="38"/>
      <c r="Y270" s="38"/>
      <c r="Z270" s="38"/>
    </row>
    <row r="271" spans="1:26" x14ac:dyDescent="0.25">
      <c r="A271" s="280">
        <f t="shared" si="27"/>
        <v>269</v>
      </c>
      <c r="B271" s="277"/>
      <c r="C271" s="52" t="str">
        <f t="shared" si="26"/>
        <v>6UMANZANILLO</v>
      </c>
      <c r="D271" s="52"/>
      <c r="E271" s="53">
        <f>+'CALCULO TARIFAS CC '!$U$45</f>
        <v>0.82386810577067515</v>
      </c>
      <c r="F271" s="54">
        <f t="shared" si="28"/>
        <v>4570.2443000000003</v>
      </c>
      <c r="G271" s="55">
        <f t="shared" si="2"/>
        <v>3765.28</v>
      </c>
      <c r="H271" s="49" t="s">
        <v>276</v>
      </c>
      <c r="I271" s="38" t="s">
        <v>651</v>
      </c>
      <c r="J271" s="38">
        <v>4570.2443457999998</v>
      </c>
      <c r="K271" s="38"/>
      <c r="L271" s="381"/>
      <c r="M271" s="268"/>
      <c r="N271" s="269"/>
      <c r="O271" s="269"/>
      <c r="P271" s="283"/>
      <c r="Q271" s="269"/>
      <c r="R271" s="269"/>
      <c r="S271" s="38"/>
      <c r="T271" s="38"/>
      <c r="U271" s="38"/>
      <c r="V271" s="38"/>
      <c r="W271" s="38"/>
      <c r="X271" s="38"/>
      <c r="Y271" s="38"/>
      <c r="Z271" s="38"/>
    </row>
    <row r="272" spans="1:26" x14ac:dyDescent="0.25">
      <c r="A272" s="280">
        <f t="shared" si="27"/>
        <v>270</v>
      </c>
      <c r="B272" s="277"/>
      <c r="C272" s="52" t="str">
        <f t="shared" si="26"/>
        <v>6UMARRAI43</v>
      </c>
      <c r="D272" s="52"/>
      <c r="E272" s="53">
        <f>+'CALCULO TARIFAS CC '!$U$45</f>
        <v>0.82386810577067515</v>
      </c>
      <c r="F272" s="54">
        <f t="shared" si="28"/>
        <v>219.01419999999999</v>
      </c>
      <c r="G272" s="55">
        <f t="shared" si="2"/>
        <v>180.44</v>
      </c>
      <c r="H272" s="49" t="s">
        <v>276</v>
      </c>
      <c r="I272" s="38" t="s">
        <v>577</v>
      </c>
      <c r="J272" s="38">
        <v>219.0142438</v>
      </c>
      <c r="K272" s="38"/>
      <c r="L272" s="381"/>
      <c r="M272" s="268"/>
      <c r="N272" s="269"/>
      <c r="O272" s="269"/>
      <c r="P272" s="283"/>
      <c r="Q272" s="269"/>
      <c r="R272" s="269"/>
      <c r="S272" s="38"/>
      <c r="T272" s="38"/>
      <c r="U272" s="38"/>
      <c r="V272" s="38"/>
      <c r="W272" s="38"/>
      <c r="X272" s="38"/>
      <c r="Y272" s="38"/>
      <c r="Z272" s="38"/>
    </row>
    <row r="273" spans="1:26" s="270" customFormat="1" x14ac:dyDescent="0.25">
      <c r="A273" s="280">
        <f t="shared" si="27"/>
        <v>271</v>
      </c>
      <c r="B273" s="277"/>
      <c r="C273" s="52" t="str">
        <f t="shared" si="26"/>
        <v>6UMARRIOTT</v>
      </c>
      <c r="D273" s="52"/>
      <c r="E273" s="53">
        <f>+'CALCULO TARIFAS CC '!$U$45</f>
        <v>0.82386810577067515</v>
      </c>
      <c r="F273" s="54">
        <f t="shared" ref="F273:F336" si="29">ROUND(J273,4)</f>
        <v>105.3045</v>
      </c>
      <c r="G273" s="55">
        <f t="shared" ref="G273:G336" si="30">+ROUND(F273*E273,2)</f>
        <v>86.76</v>
      </c>
      <c r="H273" s="49" t="s">
        <v>276</v>
      </c>
      <c r="I273" s="38" t="s">
        <v>458</v>
      </c>
      <c r="J273" s="38">
        <v>105.3045175</v>
      </c>
      <c r="K273" s="38"/>
      <c r="L273" s="381"/>
      <c r="M273" s="268"/>
      <c r="N273" s="269"/>
      <c r="O273" s="269"/>
      <c r="P273" s="283"/>
      <c r="Q273" s="269"/>
      <c r="R273" s="269"/>
      <c r="S273" s="38"/>
      <c r="T273" s="38"/>
      <c r="U273" s="38"/>
      <c r="V273" s="38"/>
      <c r="W273" s="38"/>
      <c r="X273" s="38"/>
      <c r="Y273" s="38"/>
      <c r="Z273" s="38"/>
    </row>
    <row r="274" spans="1:26" s="284" customFormat="1" x14ac:dyDescent="0.25">
      <c r="A274" s="280">
        <f t="shared" si="27"/>
        <v>272</v>
      </c>
      <c r="B274" s="277"/>
      <c r="C274" s="52" t="str">
        <f t="shared" si="26"/>
        <v>6UMAZUL</v>
      </c>
      <c r="D274" s="52"/>
      <c r="E274" s="53">
        <f>+'CALCULO TARIFAS CC '!$U$45</f>
        <v>0.82386810577067515</v>
      </c>
      <c r="F274" s="54">
        <f t="shared" si="29"/>
        <v>297.98239999999998</v>
      </c>
      <c r="G274" s="55">
        <f t="shared" si="30"/>
        <v>245.5</v>
      </c>
      <c r="H274" s="49" t="s">
        <v>276</v>
      </c>
      <c r="I274" s="38" t="s">
        <v>455</v>
      </c>
      <c r="J274" s="38">
        <v>297.98243059999999</v>
      </c>
      <c r="K274" s="38"/>
      <c r="L274" s="381"/>
      <c r="M274" s="268"/>
      <c r="N274" s="269"/>
      <c r="O274" s="269"/>
      <c r="P274" s="283"/>
      <c r="Q274" s="269"/>
      <c r="R274" s="269"/>
      <c r="S274" s="38"/>
      <c r="T274" s="38"/>
      <c r="U274" s="38"/>
      <c r="V274" s="38"/>
      <c r="W274" s="38"/>
      <c r="X274" s="38"/>
      <c r="Y274" s="38"/>
      <c r="Z274" s="38"/>
    </row>
    <row r="275" spans="1:26" s="284" customFormat="1" x14ac:dyDescent="0.25">
      <c r="A275" s="280">
        <f t="shared" si="27"/>
        <v>273</v>
      </c>
      <c r="B275" s="277"/>
      <c r="C275" s="52" t="str">
        <f t="shared" si="26"/>
        <v>6UMBGOLF92</v>
      </c>
      <c r="D275" s="52"/>
      <c r="E275" s="53">
        <f>+'CALCULO TARIFAS CC '!$U$45</f>
        <v>0.82386810577067515</v>
      </c>
      <c r="F275" s="54">
        <f t="shared" si="29"/>
        <v>174.83070000000001</v>
      </c>
      <c r="G275" s="55">
        <f t="shared" si="30"/>
        <v>144.04</v>
      </c>
      <c r="H275" s="49" t="s">
        <v>276</v>
      </c>
      <c r="I275" s="38" t="s">
        <v>599</v>
      </c>
      <c r="J275" s="38">
        <v>174.8307159</v>
      </c>
      <c r="K275" s="38"/>
      <c r="L275" s="381"/>
      <c r="M275" s="268"/>
      <c r="N275" s="269"/>
      <c r="O275" s="269"/>
      <c r="P275" s="283"/>
      <c r="Q275" s="269"/>
      <c r="R275" s="269"/>
      <c r="S275" s="38"/>
      <c r="T275" s="38"/>
      <c r="U275" s="38"/>
      <c r="V275" s="38"/>
      <c r="W275" s="38"/>
      <c r="X275" s="38"/>
      <c r="Y275" s="38"/>
      <c r="Z275" s="38"/>
    </row>
    <row r="276" spans="1:26" s="284" customFormat="1" x14ac:dyDescent="0.25">
      <c r="A276" s="280">
        <f t="shared" si="27"/>
        <v>274</v>
      </c>
      <c r="B276" s="277"/>
      <c r="C276" s="52" t="str">
        <f t="shared" si="26"/>
        <v>6UMCALI43</v>
      </c>
      <c r="D276" s="52"/>
      <c r="E276" s="53">
        <f>+'CALCULO TARIFAS CC '!$U$45</f>
        <v>0.82386810577067515</v>
      </c>
      <c r="F276" s="54">
        <f t="shared" si="29"/>
        <v>102.9143</v>
      </c>
      <c r="G276" s="55">
        <f t="shared" si="30"/>
        <v>84.79</v>
      </c>
      <c r="H276" s="49" t="s">
        <v>276</v>
      </c>
      <c r="I276" s="38" t="s">
        <v>600</v>
      </c>
      <c r="J276" s="38">
        <v>102.914326</v>
      </c>
      <c r="K276" s="38"/>
      <c r="L276" s="381"/>
      <c r="M276" s="268"/>
      <c r="N276" s="269"/>
      <c r="O276" s="269"/>
      <c r="P276" s="283"/>
      <c r="Q276" s="269"/>
      <c r="R276" s="269"/>
      <c r="S276" s="38"/>
      <c r="T276" s="38"/>
      <c r="U276" s="38"/>
      <c r="V276" s="38"/>
      <c r="W276" s="38"/>
      <c r="X276" s="38"/>
      <c r="Y276" s="38"/>
      <c r="Z276" s="38"/>
    </row>
    <row r="277" spans="1:26" s="284" customFormat="1" x14ac:dyDescent="0.25">
      <c r="A277" s="280">
        <f t="shared" si="27"/>
        <v>275</v>
      </c>
      <c r="B277" s="277"/>
      <c r="C277" s="52" t="str">
        <f t="shared" si="26"/>
        <v>6UMCALID42</v>
      </c>
      <c r="D277" s="52"/>
      <c r="E277" s="53">
        <f>+'CALCULO TARIFAS CC '!$U$45</f>
        <v>0.82386810577067515</v>
      </c>
      <c r="F277" s="54">
        <f t="shared" si="29"/>
        <v>190.52430000000001</v>
      </c>
      <c r="G277" s="55">
        <f t="shared" si="30"/>
        <v>156.97</v>
      </c>
      <c r="H277" s="49" t="s">
        <v>276</v>
      </c>
      <c r="I277" s="38" t="s">
        <v>578</v>
      </c>
      <c r="J277" s="38">
        <v>190.52432769999999</v>
      </c>
      <c r="K277" s="38"/>
      <c r="L277" s="381"/>
      <c r="M277" s="268"/>
      <c r="N277" s="269"/>
      <c r="O277" s="269"/>
      <c r="P277" s="283"/>
      <c r="Q277" s="269"/>
      <c r="R277" s="269"/>
      <c r="S277" s="38"/>
      <c r="T277" s="38"/>
      <c r="U277" s="38"/>
      <c r="V277" s="38"/>
      <c r="W277" s="38"/>
      <c r="X277" s="38"/>
      <c r="Y277" s="38"/>
      <c r="Z277" s="38"/>
    </row>
    <row r="278" spans="1:26" s="284" customFormat="1" x14ac:dyDescent="0.25">
      <c r="A278" s="280">
        <f t="shared" si="27"/>
        <v>276</v>
      </c>
      <c r="B278" s="277"/>
      <c r="C278" s="52" t="str">
        <f t="shared" si="26"/>
        <v>6UMCHITRE86</v>
      </c>
      <c r="D278" s="52"/>
      <c r="E278" s="53">
        <f>+'CALCULO TARIFAS CC '!$U$45</f>
        <v>0.82386810577067515</v>
      </c>
      <c r="F278" s="54">
        <f t="shared" si="29"/>
        <v>172.0376</v>
      </c>
      <c r="G278" s="55">
        <f t="shared" si="30"/>
        <v>141.74</v>
      </c>
      <c r="H278" s="49" t="s">
        <v>276</v>
      </c>
      <c r="I278" s="38" t="s">
        <v>601</v>
      </c>
      <c r="J278" s="38">
        <v>172.0376176</v>
      </c>
      <c r="K278" s="38"/>
      <c r="L278" s="381"/>
      <c r="M278" s="268"/>
      <c r="N278" s="269"/>
      <c r="O278" s="269"/>
      <c r="P278" s="283"/>
      <c r="Q278" s="269"/>
      <c r="R278" s="269"/>
      <c r="S278" s="38"/>
      <c r="T278" s="38"/>
      <c r="U278" s="38"/>
      <c r="V278" s="38"/>
      <c r="W278" s="38"/>
      <c r="X278" s="38"/>
      <c r="Y278" s="38"/>
      <c r="Z278" s="38"/>
    </row>
    <row r="279" spans="1:26" s="284" customFormat="1" x14ac:dyDescent="0.25">
      <c r="A279" s="280">
        <f t="shared" si="27"/>
        <v>277</v>
      </c>
      <c r="B279" s="277"/>
      <c r="C279" s="52" t="str">
        <f t="shared" si="26"/>
        <v>6UMCORO12</v>
      </c>
      <c r="D279" s="52"/>
      <c r="E279" s="53">
        <f>+'CALCULO TARIFAS CC '!$U$45</f>
        <v>0.82386810577067515</v>
      </c>
      <c r="F279" s="54">
        <f t="shared" si="29"/>
        <v>206.72890000000001</v>
      </c>
      <c r="G279" s="55">
        <f t="shared" si="30"/>
        <v>170.32</v>
      </c>
      <c r="H279" s="49" t="s">
        <v>276</v>
      </c>
      <c r="I279" s="38" t="s">
        <v>602</v>
      </c>
      <c r="J279" s="38">
        <v>206.7288853</v>
      </c>
      <c r="K279" s="38"/>
      <c r="L279" s="381"/>
      <c r="M279" s="268"/>
      <c r="N279" s="269"/>
      <c r="O279" s="269"/>
      <c r="P279" s="283"/>
      <c r="Q279" s="269"/>
      <c r="R279" s="269"/>
      <c r="S279" s="38"/>
      <c r="T279" s="38"/>
      <c r="U279" s="38"/>
      <c r="V279" s="38"/>
      <c r="W279" s="38"/>
      <c r="X279" s="38"/>
      <c r="Y279" s="38"/>
      <c r="Z279" s="38"/>
    </row>
    <row r="280" spans="1:26" s="284" customFormat="1" x14ac:dyDescent="0.25">
      <c r="A280" s="280">
        <f t="shared" si="27"/>
        <v>278</v>
      </c>
      <c r="B280" s="277"/>
      <c r="C280" s="52" t="str">
        <f t="shared" si="26"/>
        <v>6UMCSUR88</v>
      </c>
      <c r="D280" s="52"/>
      <c r="E280" s="53">
        <f>+'CALCULO TARIFAS CC '!$U$45</f>
        <v>0.82386810577067515</v>
      </c>
      <c r="F280" s="54">
        <f t="shared" si="29"/>
        <v>200.2381</v>
      </c>
      <c r="G280" s="55">
        <f t="shared" si="30"/>
        <v>164.97</v>
      </c>
      <c r="H280" s="49" t="s">
        <v>276</v>
      </c>
      <c r="I280" s="38" t="s">
        <v>617</v>
      </c>
      <c r="J280" s="38">
        <v>200.2381283</v>
      </c>
      <c r="K280" s="38"/>
      <c r="L280" s="381"/>
      <c r="M280" s="268"/>
      <c r="N280" s="269"/>
      <c r="O280" s="269"/>
      <c r="P280" s="283"/>
      <c r="Q280" s="269"/>
      <c r="R280" s="269"/>
      <c r="S280" s="38"/>
      <c r="T280" s="38"/>
      <c r="U280" s="38"/>
      <c r="V280" s="38"/>
      <c r="W280" s="38"/>
      <c r="X280" s="38"/>
      <c r="Y280" s="38"/>
      <c r="Z280" s="38"/>
    </row>
    <row r="281" spans="1:26" s="284" customFormat="1" x14ac:dyDescent="0.25">
      <c r="A281" s="280">
        <f t="shared" si="27"/>
        <v>279</v>
      </c>
      <c r="B281" s="277"/>
      <c r="C281" s="52" t="str">
        <f t="shared" si="26"/>
        <v>6UMC_ARRCAB</v>
      </c>
      <c r="D281" s="52"/>
      <c r="E281" s="53">
        <f>+'CALCULO TARIFAS CC '!$U$45</f>
        <v>0.82386810577067515</v>
      </c>
      <c r="F281" s="54">
        <f t="shared" si="29"/>
        <v>16.578099999999999</v>
      </c>
      <c r="G281" s="55">
        <f t="shared" si="30"/>
        <v>13.66</v>
      </c>
      <c r="H281" s="49" t="s">
        <v>276</v>
      </c>
      <c r="I281" s="38" t="s">
        <v>812</v>
      </c>
      <c r="J281" s="38">
        <v>16.578128400000001</v>
      </c>
      <c r="K281" s="38"/>
      <c r="L281" s="381"/>
      <c r="M281" s="268"/>
      <c r="N281" s="269"/>
      <c r="O281" s="269"/>
      <c r="P281" s="283"/>
      <c r="Q281" s="269"/>
      <c r="R281" s="269"/>
      <c r="S281" s="38"/>
      <c r="T281" s="38"/>
      <c r="U281" s="38"/>
      <c r="V281" s="38"/>
      <c r="W281" s="38"/>
      <c r="X281" s="38"/>
      <c r="Y281" s="38"/>
      <c r="Z281" s="38"/>
    </row>
    <row r="282" spans="1:26" s="284" customFormat="1" x14ac:dyDescent="0.25">
      <c r="A282" s="280">
        <f t="shared" si="27"/>
        <v>280</v>
      </c>
      <c r="B282" s="277"/>
      <c r="C282" s="52" t="str">
        <f t="shared" si="26"/>
        <v>6UMC_ARRCHC</v>
      </c>
      <c r="D282" s="52"/>
      <c r="E282" s="53">
        <f>+'CALCULO TARIFAS CC '!$U$45</f>
        <v>0.82386810577067515</v>
      </c>
      <c r="F282" s="54">
        <f t="shared" si="29"/>
        <v>20.242699999999999</v>
      </c>
      <c r="G282" s="55">
        <f t="shared" si="30"/>
        <v>16.68</v>
      </c>
      <c r="H282" s="49" t="s">
        <v>276</v>
      </c>
      <c r="I282" s="38" t="s">
        <v>813</v>
      </c>
      <c r="J282" s="38">
        <v>20.242717899999999</v>
      </c>
      <c r="K282" s="38"/>
      <c r="L282" s="381"/>
      <c r="M282" s="268"/>
      <c r="N282" s="269"/>
      <c r="O282" s="269"/>
      <c r="P282" s="283"/>
      <c r="Q282" s="269"/>
      <c r="R282" s="269"/>
      <c r="S282" s="38"/>
      <c r="T282" s="38"/>
      <c r="U282" s="38"/>
      <c r="V282" s="38"/>
      <c r="W282" s="38"/>
      <c r="X282" s="38"/>
      <c r="Y282" s="38"/>
      <c r="Z282" s="38"/>
    </row>
    <row r="283" spans="1:26" s="284" customFormat="1" x14ac:dyDescent="0.25">
      <c r="A283" s="280">
        <f t="shared" si="27"/>
        <v>281</v>
      </c>
      <c r="B283" s="277"/>
      <c r="C283" s="52" t="str">
        <f t="shared" si="26"/>
        <v>6UMED12OC</v>
      </c>
      <c r="D283" s="52"/>
      <c r="E283" s="53">
        <f>+'CALCULO TARIFAS CC '!$U$45</f>
        <v>0.82386810577067515</v>
      </c>
      <c r="F283" s="54">
        <f t="shared" si="29"/>
        <v>286.30349999999999</v>
      </c>
      <c r="G283" s="55">
        <f t="shared" si="30"/>
        <v>235.88</v>
      </c>
      <c r="H283" s="49" t="s">
        <v>276</v>
      </c>
      <c r="I283" s="38" t="s">
        <v>456</v>
      </c>
      <c r="J283" s="38">
        <v>286.30349710000002</v>
      </c>
      <c r="K283" s="38"/>
      <c r="L283" s="381"/>
      <c r="M283" s="268"/>
      <c r="N283" s="269"/>
      <c r="O283" s="269"/>
      <c r="P283" s="283"/>
      <c r="Q283" s="269"/>
      <c r="R283" s="269"/>
      <c r="S283" s="38"/>
      <c r="T283" s="38"/>
      <c r="U283" s="38"/>
      <c r="V283" s="38"/>
      <c r="W283" s="38"/>
      <c r="X283" s="38"/>
      <c r="Y283" s="38"/>
      <c r="Z283" s="38"/>
    </row>
    <row r="284" spans="1:26" s="284" customFormat="1" x14ac:dyDescent="0.25">
      <c r="A284" s="280">
        <f t="shared" si="27"/>
        <v>282</v>
      </c>
      <c r="B284" s="277"/>
      <c r="C284" s="52" t="str">
        <f t="shared" si="26"/>
        <v>6UMEDCBAN</v>
      </c>
      <c r="D284" s="52"/>
      <c r="E284" s="53">
        <f>+'CALCULO TARIFAS CC '!$U$45</f>
        <v>0.82386810577067515</v>
      </c>
      <c r="F284" s="54">
        <f t="shared" si="29"/>
        <v>123.6778</v>
      </c>
      <c r="G284" s="55">
        <f t="shared" si="30"/>
        <v>101.89</v>
      </c>
      <c r="H284" s="49" t="s">
        <v>276</v>
      </c>
      <c r="I284" s="38" t="s">
        <v>457</v>
      </c>
      <c r="J284" s="38">
        <v>123.677789</v>
      </c>
      <c r="K284" s="38"/>
      <c r="L284" s="381"/>
      <c r="M284" s="268"/>
      <c r="N284" s="269"/>
      <c r="O284" s="269"/>
      <c r="P284" s="283"/>
      <c r="Q284" s="269"/>
      <c r="R284" s="269"/>
      <c r="S284" s="38"/>
      <c r="T284" s="38"/>
      <c r="U284" s="38"/>
      <c r="V284" s="38"/>
      <c r="W284" s="38"/>
      <c r="X284" s="38"/>
      <c r="Y284" s="38"/>
      <c r="Z284" s="38"/>
    </row>
    <row r="285" spans="1:26" s="284" customFormat="1" x14ac:dyDescent="0.25">
      <c r="A285" s="280">
        <f t="shared" si="27"/>
        <v>283</v>
      </c>
      <c r="B285" s="277"/>
      <c r="C285" s="52" t="str">
        <f t="shared" si="26"/>
        <v>6UMEGAD</v>
      </c>
      <c r="D285" s="52"/>
      <c r="E285" s="53">
        <f>+'CALCULO TARIFAS CC '!$U$45</f>
        <v>0.82386810577067515</v>
      </c>
      <c r="F285" s="54">
        <f t="shared" si="29"/>
        <v>251.27520000000001</v>
      </c>
      <c r="G285" s="55">
        <f t="shared" si="30"/>
        <v>207.02</v>
      </c>
      <c r="H285" s="49" t="s">
        <v>276</v>
      </c>
      <c r="I285" s="38" t="s">
        <v>52</v>
      </c>
      <c r="J285" s="38">
        <v>251.2751887</v>
      </c>
      <c r="K285" s="38"/>
      <c r="L285" s="381"/>
      <c r="M285" s="268"/>
      <c r="N285" s="269"/>
      <c r="O285" s="269"/>
      <c r="P285" s="283"/>
      <c r="Q285" s="269"/>
      <c r="R285" s="269"/>
      <c r="S285" s="38"/>
      <c r="T285" s="38"/>
      <c r="U285" s="38"/>
      <c r="V285" s="38"/>
      <c r="W285" s="38"/>
      <c r="X285" s="38"/>
      <c r="Y285" s="38"/>
      <c r="Z285" s="38"/>
    </row>
    <row r="286" spans="1:26" s="284" customFormat="1" x14ac:dyDescent="0.25">
      <c r="A286" s="280">
        <f t="shared" si="27"/>
        <v>284</v>
      </c>
      <c r="B286" s="277"/>
      <c r="C286" s="52" t="str">
        <f t="shared" si="26"/>
        <v>6UMEGAMALL</v>
      </c>
      <c r="D286" s="52"/>
      <c r="E286" s="53">
        <f>+'CALCULO TARIFAS CC '!$U$45</f>
        <v>0.82386810577067515</v>
      </c>
      <c r="F286" s="54">
        <f t="shared" si="29"/>
        <v>50.999400000000001</v>
      </c>
      <c r="G286" s="55">
        <f t="shared" si="30"/>
        <v>42.02</v>
      </c>
      <c r="H286" s="49" t="s">
        <v>276</v>
      </c>
      <c r="I286" s="38" t="s">
        <v>402</v>
      </c>
      <c r="J286" s="38">
        <v>50.999350499999998</v>
      </c>
      <c r="K286" s="38"/>
      <c r="L286" s="381"/>
      <c r="M286" s="268"/>
      <c r="N286" s="269"/>
      <c r="O286" s="269"/>
      <c r="P286" s="283"/>
      <c r="Q286" s="269"/>
      <c r="R286" s="269"/>
      <c r="S286" s="38"/>
      <c r="T286" s="38"/>
      <c r="U286" s="38"/>
      <c r="V286" s="38"/>
      <c r="W286" s="38"/>
      <c r="X286" s="38"/>
      <c r="Y286" s="38"/>
      <c r="Z286" s="38"/>
    </row>
    <row r="287" spans="1:26" s="284" customFormat="1" x14ac:dyDescent="0.25">
      <c r="A287" s="280">
        <f t="shared" si="27"/>
        <v>285</v>
      </c>
      <c r="B287" s="277"/>
      <c r="C287" s="52" t="str">
        <f t="shared" si="26"/>
        <v>6UMELOEA</v>
      </c>
      <c r="D287" s="52"/>
      <c r="E287" s="53">
        <f>+'CALCULO TARIFAS CC '!$U$45</f>
        <v>0.82386810577067515</v>
      </c>
      <c r="F287" s="54">
        <f t="shared" si="29"/>
        <v>598.69349999999997</v>
      </c>
      <c r="G287" s="55">
        <f t="shared" si="30"/>
        <v>493.24</v>
      </c>
      <c r="H287" s="49" t="s">
        <v>276</v>
      </c>
      <c r="I287" s="38" t="s">
        <v>53</v>
      </c>
      <c r="J287" s="38">
        <v>598.69354929999997</v>
      </c>
      <c r="K287" s="38"/>
      <c r="L287" s="381"/>
      <c r="M287" s="268"/>
      <c r="N287" s="269"/>
      <c r="O287" s="269"/>
      <c r="P287" s="283"/>
      <c r="Q287" s="269"/>
      <c r="R287" s="269"/>
      <c r="S287" s="38"/>
      <c r="T287" s="38"/>
      <c r="U287" s="38"/>
      <c r="V287" s="38"/>
      <c r="W287" s="38"/>
      <c r="X287" s="38"/>
      <c r="Y287" s="38"/>
      <c r="Z287" s="38"/>
    </row>
    <row r="288" spans="1:26" s="270" customFormat="1" x14ac:dyDescent="0.25">
      <c r="A288" s="280">
        <f t="shared" si="27"/>
        <v>286</v>
      </c>
      <c r="B288" s="277"/>
      <c r="C288" s="52" t="str">
        <f t="shared" si="26"/>
        <v>6UMELOMM</v>
      </c>
      <c r="D288" s="52"/>
      <c r="E288" s="53">
        <f>+'CALCULO TARIFAS CC '!$U$45</f>
        <v>0.82386810577067515</v>
      </c>
      <c r="F288" s="54">
        <f t="shared" si="29"/>
        <v>787.26009999999997</v>
      </c>
      <c r="G288" s="55">
        <f t="shared" si="30"/>
        <v>648.6</v>
      </c>
      <c r="H288" s="49" t="s">
        <v>276</v>
      </c>
      <c r="I288" s="38" t="s">
        <v>54</v>
      </c>
      <c r="J288" s="38">
        <v>787.26007579999998</v>
      </c>
      <c r="K288" s="38"/>
      <c r="L288" s="381"/>
      <c r="M288" s="268"/>
      <c r="N288" s="269"/>
      <c r="O288" s="269"/>
      <c r="P288" s="283"/>
      <c r="Q288" s="269"/>
      <c r="R288" s="269"/>
      <c r="S288" s="38"/>
      <c r="T288" s="38"/>
      <c r="U288" s="38"/>
      <c r="V288" s="38"/>
      <c r="W288" s="38"/>
      <c r="X288" s="38"/>
      <c r="Y288" s="38"/>
      <c r="Z288" s="38"/>
    </row>
    <row r="289" spans="1:26" s="285" customFormat="1" x14ac:dyDescent="0.25">
      <c r="A289" s="280">
        <f t="shared" si="27"/>
        <v>287</v>
      </c>
      <c r="B289" s="277"/>
      <c r="C289" s="52" t="str">
        <f t="shared" si="26"/>
        <v>6UMELORA</v>
      </c>
      <c r="D289" s="52"/>
      <c r="E289" s="53">
        <f>+'CALCULO TARIFAS CC '!$U$45</f>
        <v>0.82386810577067515</v>
      </c>
      <c r="F289" s="54">
        <f t="shared" si="29"/>
        <v>188.95410000000001</v>
      </c>
      <c r="G289" s="55">
        <f t="shared" si="30"/>
        <v>155.66999999999999</v>
      </c>
      <c r="H289" s="49" t="s">
        <v>276</v>
      </c>
      <c r="I289" s="38" t="s">
        <v>55</v>
      </c>
      <c r="J289" s="38">
        <v>188.95409509999999</v>
      </c>
      <c r="K289" s="38"/>
      <c r="L289" s="381"/>
      <c r="M289" s="268"/>
      <c r="N289" s="269"/>
      <c r="O289" s="269"/>
      <c r="P289" s="283"/>
      <c r="Q289" s="269"/>
      <c r="R289" s="269"/>
      <c r="S289" s="38"/>
      <c r="T289" s="38"/>
      <c r="U289" s="38"/>
      <c r="V289" s="38"/>
      <c r="W289" s="38"/>
      <c r="X289" s="38"/>
      <c r="Y289" s="38"/>
      <c r="Z289" s="38"/>
    </row>
    <row r="290" spans="1:26" s="285" customFormat="1" x14ac:dyDescent="0.25">
      <c r="A290" s="280">
        <f t="shared" si="27"/>
        <v>288</v>
      </c>
      <c r="B290" s="277"/>
      <c r="C290" s="52" t="str">
        <f t="shared" si="26"/>
        <v>6UMELOSC</v>
      </c>
      <c r="D290" s="52"/>
      <c r="E290" s="53">
        <f>+'CALCULO TARIFAS CC '!$U$45</f>
        <v>0.82386810577067515</v>
      </c>
      <c r="F290" s="54">
        <f t="shared" si="29"/>
        <v>257.25490000000002</v>
      </c>
      <c r="G290" s="55">
        <f t="shared" si="30"/>
        <v>211.94</v>
      </c>
      <c r="H290" s="49" t="s">
        <v>276</v>
      </c>
      <c r="I290" s="38" t="s">
        <v>56</v>
      </c>
      <c r="J290" s="38">
        <v>257.25489270000003</v>
      </c>
      <c r="K290" s="38"/>
      <c r="L290" s="381"/>
      <c r="M290" s="268"/>
      <c r="N290" s="269"/>
      <c r="O290" s="269"/>
      <c r="P290" s="283"/>
      <c r="Q290" s="269"/>
      <c r="R290" s="269"/>
      <c r="S290" s="38"/>
      <c r="T290" s="38"/>
      <c r="U290" s="38"/>
      <c r="V290" s="38"/>
      <c r="W290" s="38"/>
      <c r="X290" s="38"/>
      <c r="Y290" s="38"/>
      <c r="Z290" s="38"/>
    </row>
    <row r="291" spans="1:26" s="285" customFormat="1" x14ac:dyDescent="0.25">
      <c r="A291" s="280">
        <f t="shared" si="27"/>
        <v>289</v>
      </c>
      <c r="B291" s="277"/>
      <c r="C291" s="52" t="str">
        <f t="shared" si="26"/>
        <v>6UMETALPAN</v>
      </c>
      <c r="D291" s="52"/>
      <c r="E291" s="53">
        <f>+'CALCULO TARIFAS CC '!$U$45</f>
        <v>0.82386810577067515</v>
      </c>
      <c r="F291" s="54">
        <f t="shared" si="29"/>
        <v>112.7914</v>
      </c>
      <c r="G291" s="55">
        <f t="shared" si="30"/>
        <v>92.93</v>
      </c>
      <c r="H291" s="49" t="s">
        <v>276</v>
      </c>
      <c r="I291" s="38" t="s">
        <v>603</v>
      </c>
      <c r="J291" s="38">
        <v>112.7913676</v>
      </c>
      <c r="K291" s="38"/>
      <c r="L291" s="381"/>
      <c r="M291" s="268"/>
      <c r="N291" s="269"/>
      <c r="O291" s="269"/>
      <c r="P291" s="283"/>
      <c r="Q291" s="269"/>
      <c r="R291" s="269"/>
      <c r="S291" s="38"/>
      <c r="T291" s="38"/>
      <c r="U291" s="38"/>
      <c r="V291" s="38"/>
      <c r="W291" s="38"/>
      <c r="X291" s="38"/>
      <c r="Y291" s="38"/>
      <c r="Z291" s="38"/>
    </row>
    <row r="292" spans="1:26" s="285" customFormat="1" x14ac:dyDescent="0.25">
      <c r="A292" s="280">
        <f t="shared" si="27"/>
        <v>290</v>
      </c>
      <c r="B292" s="277"/>
      <c r="C292" s="52" t="str">
        <f t="shared" si="26"/>
        <v>6UMETRO5MAY</v>
      </c>
      <c r="D292" s="52"/>
      <c r="E292" s="53">
        <f>+'CALCULO TARIFAS CC '!$U$45</f>
        <v>0.82386810577067515</v>
      </c>
      <c r="F292" s="54">
        <f t="shared" si="29"/>
        <v>1590.6677</v>
      </c>
      <c r="G292" s="55">
        <f t="shared" si="30"/>
        <v>1310.5</v>
      </c>
      <c r="H292" s="49" t="s">
        <v>276</v>
      </c>
      <c r="I292" s="38" t="s">
        <v>772</v>
      </c>
      <c r="J292" s="38">
        <v>1590.6676562</v>
      </c>
      <c r="K292" s="38"/>
      <c r="L292" s="381"/>
      <c r="M292" s="268"/>
      <c r="N292" s="269"/>
      <c r="O292" s="269"/>
      <c r="P292" s="283"/>
      <c r="Q292" s="269"/>
      <c r="R292" s="269"/>
      <c r="S292" s="38"/>
      <c r="T292" s="38"/>
      <c r="U292" s="38"/>
      <c r="V292" s="38"/>
      <c r="W292" s="38"/>
      <c r="X292" s="38"/>
      <c r="Y292" s="38"/>
      <c r="Z292" s="38"/>
    </row>
    <row r="293" spans="1:26" s="285" customFormat="1" x14ac:dyDescent="0.25">
      <c r="A293" s="280">
        <f t="shared" si="27"/>
        <v>291</v>
      </c>
      <c r="B293" s="277"/>
      <c r="C293" s="52" t="str">
        <f t="shared" si="26"/>
        <v>6UMETROAND</v>
      </c>
      <c r="D293" s="52"/>
      <c r="E293" s="53">
        <f>+'CALCULO TARIFAS CC '!$U$45</f>
        <v>0.82386810577067515</v>
      </c>
      <c r="F293" s="54">
        <f t="shared" si="29"/>
        <v>1015.7764</v>
      </c>
      <c r="G293" s="55">
        <f t="shared" si="30"/>
        <v>836.87</v>
      </c>
      <c r="H293" s="49" t="s">
        <v>276</v>
      </c>
      <c r="I293" s="38" t="s">
        <v>773</v>
      </c>
      <c r="J293" s="38">
        <v>1015.7764271</v>
      </c>
      <c r="K293" s="38"/>
      <c r="L293" s="381"/>
      <c r="M293" s="268"/>
      <c r="N293" s="269"/>
      <c r="O293" s="269"/>
      <c r="P293" s="283"/>
      <c r="Q293" s="269"/>
      <c r="R293" s="269"/>
      <c r="S293" s="38"/>
      <c r="T293" s="38"/>
      <c r="U293" s="38"/>
      <c r="V293" s="38"/>
      <c r="W293" s="38"/>
      <c r="X293" s="38"/>
      <c r="Y293" s="38"/>
      <c r="Z293" s="38"/>
    </row>
    <row r="294" spans="1:26" s="285" customFormat="1" x14ac:dyDescent="0.25">
      <c r="A294" s="280">
        <f t="shared" si="27"/>
        <v>292</v>
      </c>
      <c r="B294" s="277"/>
      <c r="C294" s="52" t="str">
        <f t="shared" si="26"/>
        <v>6GMINERAPMA</v>
      </c>
      <c r="D294" s="52"/>
      <c r="E294" s="53">
        <f>+'CALCULO TARIFAS CC '!$U$45</f>
        <v>0.82386810577067515</v>
      </c>
      <c r="F294" s="54">
        <f t="shared" si="29"/>
        <v>5.9066000000000001</v>
      </c>
      <c r="G294" s="55">
        <f t="shared" si="30"/>
        <v>4.87</v>
      </c>
      <c r="H294" s="49" t="s">
        <v>276</v>
      </c>
      <c r="I294" s="38" t="s">
        <v>31</v>
      </c>
      <c r="J294" s="38">
        <v>5.9066239999999999</v>
      </c>
      <c r="K294" s="38"/>
      <c r="L294" s="381"/>
      <c r="M294" s="268"/>
      <c r="N294" s="269"/>
      <c r="O294" s="269"/>
      <c r="P294" s="283"/>
      <c r="Q294" s="269"/>
      <c r="R294" s="269"/>
      <c r="S294" s="38"/>
      <c r="T294" s="38"/>
      <c r="U294" s="38"/>
      <c r="V294" s="38"/>
      <c r="W294" s="38"/>
      <c r="X294" s="38"/>
      <c r="Y294" s="38"/>
      <c r="Z294" s="38"/>
    </row>
    <row r="295" spans="1:26" s="285" customFormat="1" x14ac:dyDescent="0.25">
      <c r="A295" s="280">
        <f t="shared" si="27"/>
        <v>293</v>
      </c>
      <c r="B295" s="277"/>
      <c r="C295" s="52" t="str">
        <f t="shared" si="26"/>
        <v>6UMIRAMAR</v>
      </c>
      <c r="D295" s="52"/>
      <c r="E295" s="53">
        <f>+'CALCULO TARIFAS CC '!$U$45</f>
        <v>0.82386810577067515</v>
      </c>
      <c r="F295" s="54">
        <f t="shared" si="29"/>
        <v>213.43</v>
      </c>
      <c r="G295" s="55">
        <f t="shared" si="30"/>
        <v>175.84</v>
      </c>
      <c r="H295" s="49" t="s">
        <v>276</v>
      </c>
      <c r="I295" s="38" t="s">
        <v>477</v>
      </c>
      <c r="J295" s="38">
        <v>213.4299633</v>
      </c>
      <c r="K295" s="38"/>
      <c r="L295" s="381"/>
      <c r="M295" s="268"/>
      <c r="N295" s="269"/>
      <c r="O295" s="269"/>
      <c r="P295" s="283"/>
      <c r="Q295" s="269"/>
      <c r="R295" s="269"/>
      <c r="S295" s="38"/>
      <c r="T295" s="38"/>
      <c r="U295" s="38"/>
      <c r="V295" s="38"/>
      <c r="W295" s="38"/>
      <c r="X295" s="38"/>
      <c r="Y295" s="38"/>
      <c r="Z295" s="38"/>
    </row>
    <row r="296" spans="1:26" s="285" customFormat="1" x14ac:dyDescent="0.25">
      <c r="A296" s="280">
        <f t="shared" si="27"/>
        <v>294</v>
      </c>
      <c r="B296" s="277"/>
      <c r="C296" s="52" t="str">
        <f t="shared" si="26"/>
        <v>6UMMALL31</v>
      </c>
      <c r="D296" s="52"/>
      <c r="E296" s="53">
        <f>+'CALCULO TARIFAS CC '!$U$45</f>
        <v>0.82386810577067515</v>
      </c>
      <c r="F296" s="54">
        <f t="shared" si="29"/>
        <v>241.94739999999999</v>
      </c>
      <c r="G296" s="55">
        <f t="shared" si="30"/>
        <v>199.33</v>
      </c>
      <c r="H296" s="49" t="s">
        <v>276</v>
      </c>
      <c r="I296" s="38" t="s">
        <v>618</v>
      </c>
      <c r="J296" s="38">
        <v>241.94736399999999</v>
      </c>
      <c r="K296" s="38"/>
      <c r="L296" s="381"/>
      <c r="M296" s="268"/>
      <c r="N296" s="269"/>
      <c r="O296" s="269"/>
      <c r="P296" s="283"/>
      <c r="Q296" s="269"/>
      <c r="R296" s="269"/>
      <c r="S296" s="38"/>
      <c r="T296" s="38"/>
      <c r="U296" s="38"/>
      <c r="V296" s="38"/>
      <c r="W296" s="38"/>
      <c r="X296" s="38"/>
      <c r="Y296" s="38"/>
      <c r="Z296" s="38"/>
    </row>
    <row r="297" spans="1:26" s="285" customFormat="1" x14ac:dyDescent="0.25">
      <c r="A297" s="280">
        <f t="shared" si="27"/>
        <v>295</v>
      </c>
      <c r="B297" s="277"/>
      <c r="C297" s="52" t="str">
        <f t="shared" si="26"/>
        <v>6UMMDHOTEL</v>
      </c>
      <c r="D297" s="52"/>
      <c r="E297" s="53">
        <f>+'CALCULO TARIFAS CC '!$U$45</f>
        <v>0.82386810577067515</v>
      </c>
      <c r="F297" s="54">
        <f t="shared" si="29"/>
        <v>45.774500000000003</v>
      </c>
      <c r="G297" s="55">
        <f t="shared" si="30"/>
        <v>37.71</v>
      </c>
      <c r="H297" s="49" t="s">
        <v>276</v>
      </c>
      <c r="I297" s="38" t="s">
        <v>652</v>
      </c>
      <c r="J297" s="38">
        <v>45.774515899999997</v>
      </c>
      <c r="K297" s="38"/>
      <c r="L297" s="381"/>
      <c r="M297" s="268"/>
      <c r="N297" s="269"/>
      <c r="O297" s="269"/>
      <c r="P297" s="283"/>
      <c r="Q297" s="269"/>
      <c r="R297" s="269"/>
      <c r="S297" s="38"/>
      <c r="T297" s="38"/>
      <c r="U297" s="38"/>
      <c r="V297" s="38"/>
      <c r="W297" s="38"/>
      <c r="X297" s="38"/>
      <c r="Y297" s="38"/>
      <c r="Z297" s="38"/>
    </row>
    <row r="298" spans="1:26" s="285" customFormat="1" x14ac:dyDescent="0.25">
      <c r="A298" s="280">
        <f t="shared" si="27"/>
        <v>296</v>
      </c>
      <c r="B298" s="277"/>
      <c r="C298" s="52" t="str">
        <f t="shared" si="26"/>
        <v>6UMNTOC17</v>
      </c>
      <c r="D298" s="52"/>
      <c r="E298" s="53">
        <f>+'CALCULO TARIFAS CC '!$U$45</f>
        <v>0.82386810577067515</v>
      </c>
      <c r="F298" s="54">
        <f t="shared" si="29"/>
        <v>153.24700000000001</v>
      </c>
      <c r="G298" s="55">
        <f t="shared" si="30"/>
        <v>126.26</v>
      </c>
      <c r="H298" s="49" t="s">
        <v>276</v>
      </c>
      <c r="I298" s="38" t="s">
        <v>604</v>
      </c>
      <c r="J298" s="38">
        <v>153.24704980000001</v>
      </c>
      <c r="K298" s="38"/>
      <c r="L298" s="381"/>
      <c r="M298" s="268"/>
      <c r="N298" s="269"/>
      <c r="O298" s="269"/>
      <c r="P298" s="283"/>
      <c r="Q298" s="269"/>
      <c r="R298" s="269"/>
      <c r="S298" s="38"/>
      <c r="T298" s="38"/>
      <c r="U298" s="38"/>
      <c r="V298" s="38"/>
      <c r="W298" s="38"/>
      <c r="X298" s="38"/>
      <c r="Y298" s="38"/>
      <c r="Z298" s="38"/>
    </row>
    <row r="299" spans="1:26" s="285" customFormat="1" x14ac:dyDescent="0.25">
      <c r="A299" s="280">
        <f t="shared" si="27"/>
        <v>297</v>
      </c>
      <c r="B299" s="277"/>
      <c r="C299" s="52" t="str">
        <f t="shared" si="26"/>
        <v>6UMOLPASA</v>
      </c>
      <c r="D299" s="52"/>
      <c r="E299" s="53">
        <f>+'CALCULO TARIFAS CC '!$U$45</f>
        <v>0.82386810577067515</v>
      </c>
      <c r="F299" s="54">
        <f t="shared" si="29"/>
        <v>185.69710000000001</v>
      </c>
      <c r="G299" s="55">
        <f t="shared" si="30"/>
        <v>152.99</v>
      </c>
      <c r="H299" s="49" t="s">
        <v>276</v>
      </c>
      <c r="I299" s="38" t="s">
        <v>516</v>
      </c>
      <c r="J299" s="38">
        <v>185.6971221</v>
      </c>
      <c r="K299" s="38"/>
      <c r="L299" s="381"/>
      <c r="M299" s="268"/>
      <c r="N299" s="269"/>
      <c r="O299" s="269"/>
      <c r="P299" s="283"/>
      <c r="Q299" s="269"/>
      <c r="R299" s="269"/>
      <c r="S299" s="38"/>
      <c r="T299" s="38"/>
      <c r="U299" s="38"/>
      <c r="V299" s="38"/>
      <c r="W299" s="38"/>
      <c r="X299" s="38"/>
      <c r="Y299" s="38"/>
      <c r="Z299" s="38"/>
    </row>
    <row r="300" spans="1:26" s="285" customFormat="1" x14ac:dyDescent="0.25">
      <c r="A300" s="280">
        <f t="shared" si="27"/>
        <v>298</v>
      </c>
      <c r="B300" s="277"/>
      <c r="C300" s="52" t="str">
        <f t="shared" si="26"/>
        <v>6UMPFRIGO57</v>
      </c>
      <c r="D300" s="52"/>
      <c r="E300" s="53">
        <f>+'CALCULO TARIFAS CC '!$U$45</f>
        <v>0.82386810577067515</v>
      </c>
      <c r="F300" s="54">
        <f t="shared" si="29"/>
        <v>157.3999</v>
      </c>
      <c r="G300" s="55">
        <f t="shared" si="30"/>
        <v>129.68</v>
      </c>
      <c r="H300" s="49" t="s">
        <v>276</v>
      </c>
      <c r="I300" s="38" t="s">
        <v>579</v>
      </c>
      <c r="J300" s="38">
        <v>157.39986830000001</v>
      </c>
      <c r="K300" s="38"/>
      <c r="L300" s="381"/>
      <c r="M300" s="268"/>
      <c r="N300" s="269"/>
      <c r="O300" s="269"/>
      <c r="P300" s="283"/>
      <c r="Q300" s="269"/>
      <c r="R300" s="269"/>
      <c r="S300" s="38"/>
      <c r="T300" s="38"/>
      <c r="U300" s="38"/>
      <c r="V300" s="38"/>
      <c r="W300" s="38"/>
      <c r="X300" s="38"/>
      <c r="Y300" s="38"/>
      <c r="Z300" s="38"/>
    </row>
    <row r="301" spans="1:26" s="285" customFormat="1" x14ac:dyDescent="0.25">
      <c r="A301" s="280">
        <f t="shared" si="27"/>
        <v>299</v>
      </c>
      <c r="B301" s="277"/>
      <c r="C301" s="52" t="str">
        <f t="shared" si="26"/>
        <v>6UMPLAZA</v>
      </c>
      <c r="D301" s="52"/>
      <c r="E301" s="53">
        <f>+'CALCULO TARIFAS CC '!$U$45</f>
        <v>0.82386810577067515</v>
      </c>
      <c r="F301" s="54">
        <f t="shared" si="29"/>
        <v>267.48200000000003</v>
      </c>
      <c r="G301" s="55">
        <f t="shared" si="30"/>
        <v>220.37</v>
      </c>
      <c r="H301" s="49" t="s">
        <v>276</v>
      </c>
      <c r="I301" s="38" t="s">
        <v>580</v>
      </c>
      <c r="J301" s="38">
        <v>267.48198680000002</v>
      </c>
      <c r="K301" s="38"/>
      <c r="L301" s="381"/>
      <c r="M301" s="268"/>
      <c r="N301" s="269"/>
      <c r="O301" s="269"/>
      <c r="P301" s="283"/>
      <c r="Q301" s="269"/>
      <c r="R301" s="269"/>
      <c r="S301" s="38"/>
      <c r="T301" s="38"/>
      <c r="U301" s="38"/>
      <c r="V301" s="38"/>
      <c r="W301" s="38"/>
      <c r="X301" s="38"/>
      <c r="Y301" s="38"/>
      <c r="Z301" s="38"/>
    </row>
    <row r="302" spans="1:26" s="285" customFormat="1" x14ac:dyDescent="0.25">
      <c r="A302" s="280">
        <f t="shared" si="27"/>
        <v>300</v>
      </c>
      <c r="B302" s="277"/>
      <c r="C302" s="52" t="str">
        <f t="shared" si="26"/>
        <v>6UMPME83</v>
      </c>
      <c r="D302" s="52"/>
      <c r="E302" s="53">
        <f>+'CALCULO TARIFAS CC '!$U$45</f>
        <v>0.82386810577067515</v>
      </c>
      <c r="F302" s="54">
        <f t="shared" si="29"/>
        <v>164.8092</v>
      </c>
      <c r="G302" s="55">
        <f t="shared" si="30"/>
        <v>135.78</v>
      </c>
      <c r="H302" s="49" t="s">
        <v>276</v>
      </c>
      <c r="I302" s="38" t="s">
        <v>581</v>
      </c>
      <c r="J302" s="38">
        <v>164.8092359</v>
      </c>
      <c r="K302" s="38"/>
      <c r="L302" s="381"/>
      <c r="M302" s="268"/>
      <c r="N302" s="269"/>
      <c r="O302" s="269"/>
      <c r="P302" s="283"/>
      <c r="Q302" s="269"/>
      <c r="R302" s="269"/>
      <c r="S302" s="38"/>
      <c r="T302" s="38"/>
      <c r="U302" s="38"/>
      <c r="V302" s="38"/>
      <c r="W302" s="38"/>
      <c r="X302" s="38"/>
      <c r="Y302" s="38"/>
      <c r="Z302" s="38"/>
    </row>
    <row r="303" spans="1:26" s="285" customFormat="1" x14ac:dyDescent="0.25">
      <c r="A303" s="280">
        <f t="shared" si="27"/>
        <v>301</v>
      </c>
      <c r="B303" s="277"/>
      <c r="C303" s="52" t="str">
        <f t="shared" si="26"/>
        <v>6UMPOLIS</v>
      </c>
      <c r="D303" s="52"/>
      <c r="E303" s="53">
        <f>+'CALCULO TARIFAS CC '!$U$45</f>
        <v>0.82386810577067515</v>
      </c>
      <c r="F303" s="54">
        <f t="shared" si="29"/>
        <v>864.88869999999997</v>
      </c>
      <c r="G303" s="55">
        <f t="shared" si="30"/>
        <v>712.55</v>
      </c>
      <c r="H303" s="49" t="s">
        <v>276</v>
      </c>
      <c r="I303" s="38" t="s">
        <v>582</v>
      </c>
      <c r="J303" s="38">
        <v>864.88866819999998</v>
      </c>
      <c r="K303" s="38"/>
      <c r="L303" s="381"/>
      <c r="M303" s="268"/>
      <c r="N303" s="269"/>
      <c r="O303" s="269"/>
      <c r="P303" s="283"/>
      <c r="Q303" s="269"/>
      <c r="R303" s="269"/>
      <c r="S303" s="38"/>
      <c r="T303" s="38"/>
      <c r="U303" s="38"/>
      <c r="V303" s="38"/>
      <c r="W303" s="38"/>
      <c r="X303" s="38"/>
      <c r="Y303" s="38"/>
      <c r="Z303" s="38"/>
    </row>
    <row r="304" spans="1:26" s="285" customFormat="1" x14ac:dyDescent="0.25">
      <c r="A304" s="280">
        <f t="shared" si="27"/>
        <v>302</v>
      </c>
      <c r="B304" s="277"/>
      <c r="C304" s="52" t="str">
        <f t="shared" si="26"/>
        <v>6UMSANM</v>
      </c>
      <c r="D304" s="52"/>
      <c r="E304" s="53">
        <f>+'CALCULO TARIFAS CC '!$U$45</f>
        <v>0.82386810577067515</v>
      </c>
      <c r="F304" s="54">
        <f t="shared" si="29"/>
        <v>405.02350000000001</v>
      </c>
      <c r="G304" s="55">
        <f t="shared" si="30"/>
        <v>333.69</v>
      </c>
      <c r="H304" s="49" t="s">
        <v>276</v>
      </c>
      <c r="I304" s="38" t="s">
        <v>688</v>
      </c>
      <c r="J304" s="38">
        <v>405.0235295</v>
      </c>
      <c r="K304" s="38"/>
      <c r="L304" s="381"/>
      <c r="M304" s="268"/>
      <c r="N304" s="269"/>
      <c r="O304" s="269"/>
      <c r="P304" s="283"/>
      <c r="Q304" s="269"/>
      <c r="R304" s="269"/>
      <c r="S304" s="38"/>
      <c r="T304" s="38"/>
      <c r="U304" s="38"/>
      <c r="V304" s="38"/>
      <c r="W304" s="38"/>
      <c r="X304" s="38"/>
      <c r="Y304" s="38"/>
      <c r="Z304" s="38"/>
    </row>
    <row r="305" spans="1:26" s="285" customFormat="1" x14ac:dyDescent="0.25">
      <c r="A305" s="280">
        <f t="shared" si="27"/>
        <v>303</v>
      </c>
      <c r="B305" s="277"/>
      <c r="C305" s="52" t="str">
        <f t="shared" si="26"/>
        <v>6UMSGO26</v>
      </c>
      <c r="D305" s="52"/>
      <c r="E305" s="53">
        <f>+'CALCULO TARIFAS CC '!$U$45</f>
        <v>0.82386810577067515</v>
      </c>
      <c r="F305" s="54">
        <f t="shared" si="29"/>
        <v>199.72710000000001</v>
      </c>
      <c r="G305" s="55">
        <f t="shared" si="30"/>
        <v>164.55</v>
      </c>
      <c r="H305" s="49" t="s">
        <v>276</v>
      </c>
      <c r="I305" s="38" t="s">
        <v>605</v>
      </c>
      <c r="J305" s="38">
        <v>199.7271432</v>
      </c>
      <c r="K305" s="38"/>
      <c r="L305" s="381"/>
      <c r="M305" s="268"/>
      <c r="N305" s="269"/>
      <c r="O305" s="269"/>
      <c r="P305" s="283"/>
      <c r="Q305" s="269"/>
      <c r="R305" s="269"/>
      <c r="S305" s="38"/>
      <c r="T305" s="38"/>
      <c r="U305" s="38"/>
      <c r="V305" s="38"/>
      <c r="W305" s="38"/>
      <c r="X305" s="38"/>
      <c r="Y305" s="38"/>
      <c r="Z305" s="38"/>
    </row>
    <row r="306" spans="1:26" s="285" customFormat="1" x14ac:dyDescent="0.25">
      <c r="A306" s="280">
        <f t="shared" si="27"/>
        <v>304</v>
      </c>
      <c r="B306" s="277"/>
      <c r="C306" s="52" t="str">
        <f t="shared" si="26"/>
        <v>6UMSPOLL</v>
      </c>
      <c r="D306" s="52"/>
      <c r="E306" s="53">
        <f>+'CALCULO TARIFAS CC '!$U$45</f>
        <v>0.82386810577067515</v>
      </c>
      <c r="F306" s="54">
        <f t="shared" si="29"/>
        <v>107.06619999999999</v>
      </c>
      <c r="G306" s="55">
        <f t="shared" si="30"/>
        <v>88.21</v>
      </c>
      <c r="H306" s="49" t="s">
        <v>276</v>
      </c>
      <c r="I306" s="38" t="s">
        <v>619</v>
      </c>
      <c r="J306" s="38">
        <v>107.0661542</v>
      </c>
      <c r="K306" s="38"/>
      <c r="L306" s="381"/>
      <c r="M306" s="268"/>
      <c r="N306" s="269"/>
      <c r="O306" s="269"/>
      <c r="P306" s="283"/>
      <c r="Q306" s="269"/>
      <c r="R306" s="269"/>
      <c r="S306" s="38"/>
      <c r="T306" s="38"/>
      <c r="U306" s="38"/>
      <c r="V306" s="38"/>
      <c r="W306" s="38"/>
      <c r="X306" s="38"/>
      <c r="Y306" s="38"/>
      <c r="Z306" s="38"/>
    </row>
    <row r="307" spans="1:26" s="285" customFormat="1" x14ac:dyDescent="0.25">
      <c r="A307" s="280">
        <f t="shared" si="27"/>
        <v>305</v>
      </c>
      <c r="B307" s="277"/>
      <c r="C307" s="52" t="str">
        <f t="shared" si="26"/>
        <v>6UMSTANA</v>
      </c>
      <c r="D307" s="52"/>
      <c r="E307" s="53">
        <f>+'CALCULO TARIFAS CC '!$U$45</f>
        <v>0.82386810577067515</v>
      </c>
      <c r="F307" s="54">
        <f t="shared" si="29"/>
        <v>171.8425</v>
      </c>
      <c r="G307" s="55">
        <f t="shared" si="30"/>
        <v>141.58000000000001</v>
      </c>
      <c r="H307" s="49" t="s">
        <v>276</v>
      </c>
      <c r="I307" s="38" t="s">
        <v>689</v>
      </c>
      <c r="J307" s="38">
        <v>171.84246690000001</v>
      </c>
      <c r="K307" s="38"/>
      <c r="L307" s="381"/>
      <c r="M307" s="268"/>
      <c r="N307" s="269"/>
      <c r="O307" s="269"/>
      <c r="P307" s="283"/>
      <c r="Q307" s="269"/>
      <c r="R307" s="269"/>
      <c r="S307" s="38"/>
      <c r="T307" s="38"/>
      <c r="U307" s="38"/>
      <c r="V307" s="38"/>
      <c r="W307" s="38"/>
      <c r="X307" s="38"/>
      <c r="Y307" s="38"/>
      <c r="Z307" s="38"/>
    </row>
    <row r="308" spans="1:26" s="285" customFormat="1" x14ac:dyDescent="0.25">
      <c r="A308" s="280">
        <f t="shared" si="27"/>
        <v>306</v>
      </c>
      <c r="B308" s="277"/>
      <c r="C308" s="52" t="str">
        <f t="shared" si="26"/>
        <v>6UMTOC55</v>
      </c>
      <c r="D308" s="52"/>
      <c r="E308" s="53">
        <f>+'CALCULO TARIFAS CC '!$U$45</f>
        <v>0.82386810577067515</v>
      </c>
      <c r="F308" s="54">
        <f t="shared" si="29"/>
        <v>281.91109999999998</v>
      </c>
      <c r="G308" s="55">
        <f t="shared" si="30"/>
        <v>232.26</v>
      </c>
      <c r="H308" s="49" t="s">
        <v>276</v>
      </c>
      <c r="I308" s="38" t="s">
        <v>620</v>
      </c>
      <c r="J308" s="38">
        <v>281.91109460000001</v>
      </c>
      <c r="K308" s="38"/>
      <c r="L308" s="381"/>
      <c r="M308" s="268"/>
      <c r="N308" s="269"/>
      <c r="O308" s="269"/>
      <c r="P308" s="283"/>
      <c r="Q308" s="269"/>
      <c r="R308" s="269"/>
      <c r="S308" s="38"/>
      <c r="T308" s="38"/>
      <c r="U308" s="38"/>
      <c r="V308" s="38"/>
      <c r="W308" s="38"/>
      <c r="X308" s="38"/>
      <c r="Y308" s="38"/>
      <c r="Z308" s="38"/>
    </row>
    <row r="309" spans="1:26" s="270" customFormat="1" x14ac:dyDescent="0.25">
      <c r="A309" s="280">
        <f t="shared" si="27"/>
        <v>307</v>
      </c>
      <c r="B309" s="277"/>
      <c r="C309" s="52" t="str">
        <f t="shared" si="26"/>
        <v>6UNESPSUR</v>
      </c>
      <c r="D309" s="52"/>
      <c r="E309" s="53">
        <f>+'CALCULO TARIFAS CC '!$U$45</f>
        <v>0.82386810577067515</v>
      </c>
      <c r="F309" s="54">
        <f t="shared" si="29"/>
        <v>75.041499999999999</v>
      </c>
      <c r="G309" s="55">
        <f t="shared" si="30"/>
        <v>61.82</v>
      </c>
      <c r="H309" s="49" t="s">
        <v>276</v>
      </c>
      <c r="I309" s="38" t="s">
        <v>441</v>
      </c>
      <c r="J309" s="38">
        <v>75.041519199999996</v>
      </c>
      <c r="K309" s="38"/>
      <c r="L309" s="381"/>
      <c r="M309" s="268"/>
      <c r="N309" s="269"/>
      <c r="O309" s="269"/>
      <c r="P309" s="283"/>
      <c r="Q309" s="269"/>
      <c r="R309" s="269"/>
      <c r="S309" s="38"/>
      <c r="T309" s="38"/>
      <c r="U309" s="38"/>
      <c r="V309" s="38"/>
      <c r="W309" s="38"/>
      <c r="X309" s="38"/>
      <c r="Y309" s="38"/>
      <c r="Z309" s="38"/>
    </row>
    <row r="310" spans="1:26" s="270" customFormat="1" x14ac:dyDescent="0.25">
      <c r="A310" s="280">
        <f t="shared" si="27"/>
        <v>308</v>
      </c>
      <c r="B310" s="277"/>
      <c r="C310" s="52" t="str">
        <f t="shared" si="26"/>
        <v>6UNESTLELOMA</v>
      </c>
      <c r="D310" s="52"/>
      <c r="E310" s="53">
        <f>+'CALCULO TARIFAS CC '!$U$45</f>
        <v>0.82386810577067515</v>
      </c>
      <c r="F310" s="54">
        <f t="shared" si="29"/>
        <v>35.209699999999998</v>
      </c>
      <c r="G310" s="55">
        <f t="shared" si="30"/>
        <v>29.01</v>
      </c>
      <c r="H310" s="49" t="s">
        <v>276</v>
      </c>
      <c r="I310" s="38" t="s">
        <v>362</v>
      </c>
      <c r="J310" s="38">
        <v>35.209690799999997</v>
      </c>
      <c r="K310" s="38"/>
      <c r="L310" s="381"/>
      <c r="M310" s="268"/>
      <c r="N310" s="269"/>
      <c r="O310" s="269"/>
      <c r="P310" s="283"/>
      <c r="Q310" s="269"/>
      <c r="R310" s="269"/>
      <c r="S310" s="38"/>
      <c r="T310" s="38"/>
      <c r="U310" s="38"/>
      <c r="V310" s="38"/>
      <c r="W310" s="38"/>
      <c r="X310" s="38"/>
      <c r="Y310" s="38"/>
      <c r="Z310" s="38"/>
    </row>
    <row r="311" spans="1:26" s="270" customFormat="1" x14ac:dyDescent="0.25">
      <c r="A311" s="280">
        <f t="shared" si="27"/>
        <v>309</v>
      </c>
      <c r="B311" s="277"/>
      <c r="C311" s="52" t="str">
        <f t="shared" si="26"/>
        <v>6UNESTLENATA</v>
      </c>
      <c r="D311" s="52"/>
      <c r="E311" s="53">
        <f>+'CALCULO TARIFAS CC '!$U$45</f>
        <v>0.82386810577067515</v>
      </c>
      <c r="F311" s="54">
        <f t="shared" si="29"/>
        <v>618.37220000000002</v>
      </c>
      <c r="G311" s="55">
        <f t="shared" si="30"/>
        <v>509.46</v>
      </c>
      <c r="H311" s="49" t="s">
        <v>276</v>
      </c>
      <c r="I311" s="38" t="s">
        <v>57</v>
      </c>
      <c r="J311" s="38">
        <v>618.37219140000002</v>
      </c>
      <c r="K311" s="38"/>
      <c r="L311" s="381"/>
      <c r="M311" s="268"/>
      <c r="N311" s="269"/>
      <c r="O311" s="269"/>
      <c r="P311" s="283"/>
      <c r="Q311" s="269"/>
      <c r="R311" s="269"/>
      <c r="S311" s="38"/>
      <c r="T311" s="38"/>
      <c r="U311" s="38"/>
      <c r="V311" s="38"/>
      <c r="W311" s="38"/>
      <c r="X311" s="38"/>
      <c r="Y311" s="38"/>
      <c r="Z311" s="38"/>
    </row>
    <row r="312" spans="1:26" s="270" customFormat="1" x14ac:dyDescent="0.25">
      <c r="A312" s="280">
        <f t="shared" si="27"/>
        <v>310</v>
      </c>
      <c r="B312" s="277"/>
      <c r="C312" s="52" t="str">
        <f t="shared" si="26"/>
        <v>6UNESTLEVILA</v>
      </c>
      <c r="D312" s="52"/>
      <c r="E312" s="53">
        <f>+'CALCULO TARIFAS CC '!$U$45</f>
        <v>0.82386810577067515</v>
      </c>
      <c r="F312" s="54">
        <f t="shared" si="29"/>
        <v>317.08339999999998</v>
      </c>
      <c r="G312" s="55">
        <f t="shared" si="30"/>
        <v>261.23</v>
      </c>
      <c r="H312" s="49" t="s">
        <v>276</v>
      </c>
      <c r="I312" s="38" t="s">
        <v>58</v>
      </c>
      <c r="J312" s="38">
        <v>317.08344060000002</v>
      </c>
      <c r="K312" s="38"/>
      <c r="L312" s="381"/>
      <c r="M312" s="268"/>
      <c r="N312" s="269"/>
      <c r="O312" s="269"/>
      <c r="P312" s="283"/>
      <c r="Q312" s="269"/>
      <c r="R312" s="269"/>
      <c r="S312" s="38"/>
      <c r="T312" s="38"/>
      <c r="U312" s="38"/>
      <c r="V312" s="38"/>
      <c r="W312" s="38"/>
      <c r="X312" s="38"/>
      <c r="Y312" s="38"/>
      <c r="Z312" s="38"/>
    </row>
    <row r="313" spans="1:26" s="270" customFormat="1" x14ac:dyDescent="0.25">
      <c r="A313" s="280">
        <f t="shared" si="27"/>
        <v>311</v>
      </c>
      <c r="B313" s="277"/>
      <c r="C313" s="52" t="str">
        <f t="shared" si="26"/>
        <v>6UNIELSPED</v>
      </c>
      <c r="D313" s="52"/>
      <c r="E313" s="53">
        <f>+'CALCULO TARIFAS CC '!$U$45</f>
        <v>0.82386810577067515</v>
      </c>
      <c r="F313" s="54">
        <f t="shared" si="29"/>
        <v>50.3645</v>
      </c>
      <c r="G313" s="55">
        <f t="shared" si="30"/>
        <v>41.49</v>
      </c>
      <c r="H313" s="49" t="s">
        <v>276</v>
      </c>
      <c r="I313" s="38" t="s">
        <v>814</v>
      </c>
      <c r="J313" s="38">
        <v>50.364505000000001</v>
      </c>
      <c r="K313" s="38"/>
      <c r="L313" s="381"/>
      <c r="M313" s="268"/>
      <c r="N313" s="269"/>
      <c r="O313" s="269"/>
      <c r="P313" s="283"/>
      <c r="Q313" s="269"/>
      <c r="R313" s="269"/>
      <c r="S313" s="38"/>
      <c r="T313" s="38"/>
      <c r="U313" s="38"/>
      <c r="V313" s="38"/>
      <c r="W313" s="38"/>
      <c r="X313" s="38"/>
      <c r="Y313" s="38"/>
      <c r="Z313" s="38"/>
    </row>
    <row r="314" spans="1:26" s="270" customFormat="1" x14ac:dyDescent="0.25">
      <c r="A314" s="280">
        <f t="shared" si="27"/>
        <v>312</v>
      </c>
      <c r="B314" s="277"/>
      <c r="C314" s="52" t="str">
        <f t="shared" si="26"/>
        <v>6UNIKOBAL</v>
      </c>
      <c r="D314" s="52"/>
      <c r="E314" s="53">
        <f>+'CALCULO TARIFAS CC '!$U$45</f>
        <v>0.82386810577067515</v>
      </c>
      <c r="F314" s="54">
        <f t="shared" si="29"/>
        <v>34.969299999999997</v>
      </c>
      <c r="G314" s="55">
        <f t="shared" si="30"/>
        <v>28.81</v>
      </c>
      <c r="H314" s="49" t="s">
        <v>276</v>
      </c>
      <c r="I314" s="38" t="s">
        <v>834</v>
      </c>
      <c r="J314" s="38">
        <v>34.969253399999999</v>
      </c>
      <c r="K314" s="38"/>
      <c r="L314" s="381"/>
      <c r="M314" s="268"/>
      <c r="N314" s="269"/>
      <c r="O314" s="269"/>
      <c r="P314" s="283"/>
      <c r="Q314" s="269"/>
      <c r="R314" s="269"/>
      <c r="S314" s="38"/>
      <c r="T314" s="38"/>
      <c r="U314" s="38"/>
      <c r="V314" s="38"/>
      <c r="W314" s="38"/>
      <c r="X314" s="38"/>
      <c r="Y314" s="38"/>
      <c r="Z314" s="38"/>
    </row>
    <row r="315" spans="1:26" s="270" customFormat="1" x14ac:dyDescent="0.25">
      <c r="A315" s="280">
        <f t="shared" si="27"/>
        <v>313</v>
      </c>
      <c r="B315" s="277"/>
      <c r="C315" s="52" t="str">
        <f t="shared" si="26"/>
        <v>6UNIKOC50</v>
      </c>
      <c r="D315" s="52"/>
      <c r="E315" s="53">
        <f>+'CALCULO TARIFAS CC '!$U$45</f>
        <v>0.82386810577067515</v>
      </c>
      <c r="F315" s="54">
        <f t="shared" si="29"/>
        <v>39.206200000000003</v>
      </c>
      <c r="G315" s="55">
        <f t="shared" si="30"/>
        <v>32.299999999999997</v>
      </c>
      <c r="H315" s="49" t="s">
        <v>276</v>
      </c>
      <c r="I315" s="38" t="s">
        <v>835</v>
      </c>
      <c r="J315" s="38">
        <v>39.206246800000002</v>
      </c>
      <c r="K315" s="38"/>
      <c r="L315" s="381"/>
      <c r="M315" s="268"/>
      <c r="N315" s="269"/>
      <c r="O315" s="269"/>
      <c r="P315" s="283"/>
      <c r="Q315" s="269"/>
      <c r="R315" s="269"/>
      <c r="S315" s="38"/>
      <c r="T315" s="38"/>
      <c r="U315" s="38"/>
      <c r="V315" s="38"/>
      <c r="W315" s="38"/>
      <c r="X315" s="38"/>
      <c r="Y315" s="38"/>
      <c r="Z315" s="38"/>
    </row>
    <row r="316" spans="1:26" s="270" customFormat="1" x14ac:dyDescent="0.25">
      <c r="A316" s="280">
        <f t="shared" si="27"/>
        <v>314</v>
      </c>
      <c r="B316" s="277"/>
      <c r="C316" s="52" t="str">
        <f t="shared" si="26"/>
        <v>6UNIKODORADO</v>
      </c>
      <c r="D316" s="52"/>
      <c r="E316" s="53">
        <f>+'CALCULO TARIFAS CC '!$U$45</f>
        <v>0.82386810577067515</v>
      </c>
      <c r="F316" s="54">
        <f t="shared" si="29"/>
        <v>44.297800000000002</v>
      </c>
      <c r="G316" s="55">
        <f t="shared" si="30"/>
        <v>36.5</v>
      </c>
      <c r="H316" s="49" t="s">
        <v>276</v>
      </c>
      <c r="I316" s="38" t="s">
        <v>836</v>
      </c>
      <c r="J316" s="38">
        <v>44.297840000000001</v>
      </c>
      <c r="K316" s="38"/>
      <c r="L316" s="381"/>
      <c r="M316" s="268"/>
      <c r="N316" s="269"/>
      <c r="O316" s="269"/>
      <c r="P316" s="283"/>
      <c r="Q316" s="269"/>
      <c r="R316" s="269"/>
      <c r="S316" s="38"/>
      <c r="T316" s="38"/>
      <c r="U316" s="38"/>
      <c r="V316" s="38"/>
      <c r="W316" s="38"/>
      <c r="X316" s="38"/>
      <c r="Y316" s="38"/>
      <c r="Z316" s="38"/>
    </row>
    <row r="317" spans="1:26" s="306" customFormat="1" x14ac:dyDescent="0.25">
      <c r="A317" s="280">
        <f t="shared" si="27"/>
        <v>315</v>
      </c>
      <c r="B317" s="277"/>
      <c r="C317" s="52" t="str">
        <f t="shared" si="26"/>
        <v>6UNIKOPBLOS</v>
      </c>
      <c r="D317" s="52"/>
      <c r="E317" s="53">
        <f>+'CALCULO TARIFAS CC '!$U$45</f>
        <v>0.82386810577067515</v>
      </c>
      <c r="F317" s="54">
        <f t="shared" si="29"/>
        <v>25.128399999999999</v>
      </c>
      <c r="G317" s="55">
        <f t="shared" si="30"/>
        <v>20.7</v>
      </c>
      <c r="H317" s="49" t="s">
        <v>276</v>
      </c>
      <c r="I317" s="38" t="s">
        <v>837</v>
      </c>
      <c r="J317" s="38">
        <v>25.128406500000001</v>
      </c>
      <c r="K317" s="38"/>
      <c r="L317" s="381"/>
      <c r="M317" s="268"/>
      <c r="N317" s="269"/>
      <c r="O317" s="269"/>
      <c r="P317" s="283"/>
      <c r="Q317" s="269"/>
      <c r="R317" s="269"/>
      <c r="S317" s="38"/>
      <c r="T317" s="38"/>
      <c r="U317" s="38"/>
      <c r="V317" s="38"/>
      <c r="W317" s="38"/>
      <c r="X317" s="38"/>
      <c r="Y317" s="38"/>
      <c r="Z317" s="38"/>
    </row>
    <row r="318" spans="1:26" s="306" customFormat="1" x14ac:dyDescent="0.25">
      <c r="A318" s="280">
        <f t="shared" si="27"/>
        <v>316</v>
      </c>
      <c r="B318" s="277"/>
      <c r="C318" s="52" t="str">
        <f t="shared" si="26"/>
        <v>6UNIKOPME</v>
      </c>
      <c r="D318" s="52"/>
      <c r="E318" s="53">
        <f>+'CALCULO TARIFAS CC '!$U$45</f>
        <v>0.82386810577067515</v>
      </c>
      <c r="F318" s="54">
        <f t="shared" si="29"/>
        <v>8.7148000000000003</v>
      </c>
      <c r="G318" s="55">
        <f t="shared" si="30"/>
        <v>7.18</v>
      </c>
      <c r="H318" s="49" t="s">
        <v>276</v>
      </c>
      <c r="I318" s="38" t="s">
        <v>838</v>
      </c>
      <c r="J318" s="38">
        <v>8.7148353000000007</v>
      </c>
      <c r="K318" s="38"/>
      <c r="L318" s="381"/>
      <c r="M318" s="268"/>
      <c r="N318" s="269"/>
      <c r="O318" s="269"/>
      <c r="P318" s="283"/>
      <c r="Q318" s="269"/>
      <c r="R318" s="269"/>
      <c r="S318" s="38"/>
      <c r="T318" s="38"/>
      <c r="U318" s="38"/>
      <c r="V318" s="38"/>
      <c r="W318" s="38"/>
      <c r="X318" s="38"/>
      <c r="Y318" s="38"/>
      <c r="Z318" s="38"/>
    </row>
    <row r="319" spans="1:26" s="306" customFormat="1" x14ac:dyDescent="0.25">
      <c r="A319" s="280">
        <f t="shared" si="27"/>
        <v>317</v>
      </c>
      <c r="B319" s="277"/>
      <c r="C319" s="52" t="str">
        <f t="shared" si="26"/>
        <v>6UNIKORABAJO</v>
      </c>
      <c r="D319" s="52"/>
      <c r="E319" s="53">
        <f>+'CALCULO TARIFAS CC '!$U$45</f>
        <v>0.82386810577067515</v>
      </c>
      <c r="F319" s="54">
        <f t="shared" si="29"/>
        <v>2.0876000000000001</v>
      </c>
      <c r="G319" s="55">
        <f t="shared" si="30"/>
        <v>1.72</v>
      </c>
      <c r="H319" s="49" t="s">
        <v>276</v>
      </c>
      <c r="I319" s="38" t="s">
        <v>858</v>
      </c>
      <c r="J319" s="38">
        <v>2.0875910000000002</v>
      </c>
      <c r="K319" s="38"/>
      <c r="L319" s="381"/>
      <c r="M319" s="268"/>
      <c r="N319" s="269"/>
      <c r="O319" s="269"/>
      <c r="P319" s="283"/>
      <c r="Q319" s="269"/>
      <c r="R319" s="269"/>
      <c r="S319" s="38"/>
      <c r="T319" s="38"/>
      <c r="U319" s="38"/>
      <c r="V319" s="38"/>
      <c r="W319" s="38"/>
      <c r="X319" s="38"/>
      <c r="Y319" s="38"/>
      <c r="Z319" s="38"/>
    </row>
    <row r="320" spans="1:26" s="306" customFormat="1" x14ac:dyDescent="0.25">
      <c r="A320" s="280">
        <f t="shared" si="27"/>
        <v>318</v>
      </c>
      <c r="B320" s="277"/>
      <c r="C320" s="52" t="str">
        <f t="shared" si="26"/>
        <v>6UNIKOTER</v>
      </c>
      <c r="D320" s="52"/>
      <c r="E320" s="53">
        <f>+'CALCULO TARIFAS CC '!$U$45</f>
        <v>0.82386810577067515</v>
      </c>
      <c r="F320" s="54">
        <f t="shared" si="29"/>
        <v>4.8578999999999999</v>
      </c>
      <c r="G320" s="55">
        <f t="shared" si="30"/>
        <v>4</v>
      </c>
      <c r="H320" s="49" t="s">
        <v>276</v>
      </c>
      <c r="I320" s="38" t="s">
        <v>839</v>
      </c>
      <c r="J320" s="38">
        <v>4.8578771999999999</v>
      </c>
      <c r="K320" s="38"/>
      <c r="L320" s="381"/>
      <c r="M320" s="268"/>
      <c r="N320" s="269"/>
      <c r="O320" s="269"/>
      <c r="P320" s="283"/>
      <c r="Q320" s="269"/>
      <c r="R320" s="269"/>
      <c r="S320" s="38"/>
      <c r="T320" s="38"/>
      <c r="U320" s="38"/>
      <c r="V320" s="38"/>
      <c r="W320" s="38"/>
      <c r="X320" s="38"/>
      <c r="Y320" s="38"/>
      <c r="Z320" s="38"/>
    </row>
    <row r="321" spans="1:26" s="306" customFormat="1" x14ac:dyDescent="0.25">
      <c r="A321" s="280">
        <f t="shared" si="27"/>
        <v>319</v>
      </c>
      <c r="B321" s="277"/>
      <c r="C321" s="52" t="str">
        <f t="shared" si="26"/>
        <v>6UOASISTROP</v>
      </c>
      <c r="D321" s="52"/>
      <c r="E321" s="53">
        <f>+'CALCULO TARIFAS CC '!$U$45</f>
        <v>0.82386810577067515</v>
      </c>
      <c r="F321" s="54">
        <f t="shared" si="29"/>
        <v>80.365300000000005</v>
      </c>
      <c r="G321" s="55">
        <f t="shared" si="30"/>
        <v>66.209999999999994</v>
      </c>
      <c r="H321" s="49" t="s">
        <v>276</v>
      </c>
      <c r="I321" s="38" t="s">
        <v>774</v>
      </c>
      <c r="J321" s="38">
        <v>80.365285700000001</v>
      </c>
      <c r="K321" s="38"/>
      <c r="L321" s="381"/>
      <c r="M321" s="268"/>
      <c r="N321" s="269"/>
      <c r="O321" s="269"/>
      <c r="P321" s="283"/>
      <c r="Q321" s="269"/>
      <c r="R321" s="269"/>
      <c r="S321" s="38"/>
      <c r="T321" s="38"/>
      <c r="U321" s="38"/>
      <c r="V321" s="38"/>
      <c r="W321" s="38"/>
      <c r="X321" s="38"/>
      <c r="Y321" s="38"/>
      <c r="Z321" s="38"/>
    </row>
    <row r="322" spans="1:26" s="306" customFormat="1" x14ac:dyDescent="0.25">
      <c r="A322" s="280">
        <f t="shared" si="27"/>
        <v>320</v>
      </c>
      <c r="B322" s="277"/>
      <c r="C322" s="52" t="str">
        <f t="shared" si="26"/>
        <v>6UOCEANIA</v>
      </c>
      <c r="D322" s="52"/>
      <c r="E322" s="53">
        <f>+'CALCULO TARIFAS CC '!$U$45</f>
        <v>0.82386810577067515</v>
      </c>
      <c r="F322" s="54">
        <f t="shared" si="29"/>
        <v>286.91750000000002</v>
      </c>
      <c r="G322" s="55">
        <f t="shared" si="30"/>
        <v>236.38</v>
      </c>
      <c r="H322" s="49" t="s">
        <v>276</v>
      </c>
      <c r="I322" s="38" t="s">
        <v>583</v>
      </c>
      <c r="J322" s="38">
        <v>286.91754539999999</v>
      </c>
      <c r="K322" s="38"/>
      <c r="L322" s="381"/>
      <c r="M322" s="268"/>
      <c r="N322" s="269"/>
      <c r="O322" s="269"/>
      <c r="P322" s="283"/>
      <c r="Q322" s="269"/>
      <c r="R322" s="269"/>
      <c r="S322" s="38"/>
      <c r="T322" s="38"/>
      <c r="U322" s="38"/>
      <c r="V322" s="38"/>
      <c r="W322" s="38"/>
      <c r="X322" s="38"/>
      <c r="Y322" s="38"/>
      <c r="Z322" s="38"/>
    </row>
    <row r="323" spans="1:26" s="306" customFormat="1" x14ac:dyDescent="0.25">
      <c r="A323" s="280">
        <f t="shared" si="27"/>
        <v>321</v>
      </c>
      <c r="B323" s="277"/>
      <c r="C323" s="52" t="str">
        <f t="shared" ref="C323:C386" si="31">I323</f>
        <v>6UOCEANTWO</v>
      </c>
      <c r="D323" s="52"/>
      <c r="E323" s="53">
        <f>+'CALCULO TARIFAS CC '!$U$45</f>
        <v>0.82386810577067515</v>
      </c>
      <c r="F323" s="54">
        <f t="shared" si="29"/>
        <v>43.688099999999999</v>
      </c>
      <c r="G323" s="55">
        <f t="shared" si="30"/>
        <v>35.99</v>
      </c>
      <c r="H323" s="49" t="s">
        <v>276</v>
      </c>
      <c r="I323" s="38" t="s">
        <v>606</v>
      </c>
      <c r="J323" s="38">
        <v>43.688117099999999</v>
      </c>
      <c r="K323" s="38"/>
      <c r="L323" s="381"/>
      <c r="M323" s="268"/>
      <c r="N323" s="269"/>
      <c r="O323" s="269"/>
      <c r="P323" s="283"/>
      <c r="Q323" s="269"/>
      <c r="R323" s="269"/>
      <c r="S323" s="38"/>
      <c r="T323" s="38"/>
      <c r="U323" s="38"/>
      <c r="V323" s="38"/>
      <c r="W323" s="38"/>
      <c r="X323" s="38"/>
      <c r="Y323" s="38"/>
      <c r="Z323" s="38"/>
    </row>
    <row r="324" spans="1:26" s="306" customFormat="1" x14ac:dyDescent="0.25">
      <c r="A324" s="280">
        <f t="shared" si="27"/>
        <v>322</v>
      </c>
      <c r="B324" s="277"/>
      <c r="C324" s="52" t="str">
        <f t="shared" si="31"/>
        <v>6UOPENBLUE1</v>
      </c>
      <c r="D324" s="52"/>
      <c r="E324" s="53">
        <f>+'CALCULO TARIFAS CC '!$U$45</f>
        <v>0.82386810577067515</v>
      </c>
      <c r="F324" s="54">
        <f t="shared" si="29"/>
        <v>42.613700000000001</v>
      </c>
      <c r="G324" s="55">
        <f t="shared" si="30"/>
        <v>35.11</v>
      </c>
      <c r="H324" s="49" t="s">
        <v>276</v>
      </c>
      <c r="I324" s="38" t="s">
        <v>840</v>
      </c>
      <c r="J324" s="38">
        <v>42.613652799999997</v>
      </c>
      <c r="K324" s="38"/>
      <c r="L324" s="381"/>
      <c r="M324" s="268"/>
      <c r="N324" s="269"/>
      <c r="O324" s="269"/>
      <c r="P324" s="283"/>
      <c r="Q324" s="269"/>
      <c r="R324" s="269"/>
      <c r="S324" s="38"/>
      <c r="T324" s="38"/>
      <c r="U324" s="38"/>
      <c r="V324" s="38"/>
      <c r="W324" s="38"/>
      <c r="X324" s="38"/>
      <c r="Y324" s="38"/>
      <c r="Z324" s="38"/>
    </row>
    <row r="325" spans="1:26" s="306" customFormat="1" x14ac:dyDescent="0.25">
      <c r="A325" s="280">
        <f t="shared" ref="A325:A420" si="32">A324+1</f>
        <v>323</v>
      </c>
      <c r="B325" s="277"/>
      <c r="C325" s="52" t="str">
        <f t="shared" si="31"/>
        <v>6UOPENBLUE2</v>
      </c>
      <c r="D325" s="52"/>
      <c r="E325" s="53">
        <f>+'CALCULO TARIFAS CC '!$U$45</f>
        <v>0.82386810577067515</v>
      </c>
      <c r="F325" s="54">
        <f t="shared" si="29"/>
        <v>228.59010000000001</v>
      </c>
      <c r="G325" s="55">
        <f t="shared" si="30"/>
        <v>188.33</v>
      </c>
      <c r="H325" s="49" t="s">
        <v>276</v>
      </c>
      <c r="I325" s="38" t="s">
        <v>841</v>
      </c>
      <c r="J325" s="38">
        <v>228.5900858</v>
      </c>
      <c r="K325" s="38"/>
      <c r="L325" s="381"/>
      <c r="M325" s="268"/>
      <c r="N325" s="269"/>
      <c r="O325" s="269"/>
      <c r="P325" s="283"/>
      <c r="Q325" s="269"/>
      <c r="R325" s="269"/>
      <c r="S325" s="38"/>
      <c r="T325" s="38"/>
      <c r="U325" s="38"/>
      <c r="V325" s="38"/>
      <c r="W325" s="38"/>
      <c r="X325" s="38"/>
      <c r="Y325" s="38"/>
      <c r="Z325" s="38"/>
    </row>
    <row r="326" spans="1:26" s="306" customFormat="1" x14ac:dyDescent="0.25">
      <c r="A326" s="280">
        <f t="shared" si="32"/>
        <v>324</v>
      </c>
      <c r="B326" s="277"/>
      <c r="C326" s="52" t="str">
        <f t="shared" si="31"/>
        <v>6UORONORTE</v>
      </c>
      <c r="D326" s="52"/>
      <c r="E326" s="53">
        <f>+'CALCULO TARIFAS CC '!$U$45</f>
        <v>0.82386810577067515</v>
      </c>
      <c r="F326" s="54">
        <f t="shared" si="29"/>
        <v>230.0361</v>
      </c>
      <c r="G326" s="55">
        <f t="shared" si="30"/>
        <v>189.52</v>
      </c>
      <c r="H326" s="49" t="s">
        <v>276</v>
      </c>
      <c r="I326" s="38" t="s">
        <v>460</v>
      </c>
      <c r="J326" s="38">
        <v>230.03608299999999</v>
      </c>
      <c r="K326" s="38"/>
      <c r="L326" s="381"/>
      <c r="M326" s="268"/>
      <c r="N326" s="269"/>
      <c r="O326" s="269"/>
      <c r="P326" s="283"/>
      <c r="Q326" s="269"/>
      <c r="R326" s="269"/>
      <c r="S326" s="38"/>
      <c r="T326" s="38"/>
      <c r="U326" s="38"/>
      <c r="V326" s="38"/>
      <c r="W326" s="38"/>
      <c r="X326" s="38"/>
      <c r="Y326" s="38"/>
      <c r="Z326" s="38"/>
    </row>
    <row r="327" spans="1:26" s="306" customFormat="1" x14ac:dyDescent="0.25">
      <c r="A327" s="280">
        <f t="shared" si="32"/>
        <v>325</v>
      </c>
      <c r="B327" s="277"/>
      <c r="C327" s="52" t="str">
        <f t="shared" si="31"/>
        <v>6GPANASOLAR</v>
      </c>
      <c r="D327" s="52"/>
      <c r="E327" s="53">
        <f>+'CALCULO TARIFAS CC '!$U$45</f>
        <v>0.82386810577067515</v>
      </c>
      <c r="F327" s="54">
        <f t="shared" si="29"/>
        <v>8.8215000000000003</v>
      </c>
      <c r="G327" s="55">
        <f t="shared" si="30"/>
        <v>7.27</v>
      </c>
      <c r="H327" s="49" t="s">
        <v>276</v>
      </c>
      <c r="I327" s="38" t="s">
        <v>584</v>
      </c>
      <c r="J327" s="38">
        <v>8.8214749999999995</v>
      </c>
      <c r="K327" s="38"/>
      <c r="L327" s="381"/>
      <c r="M327" s="268"/>
      <c r="N327" s="269"/>
      <c r="O327" s="269"/>
      <c r="P327" s="283"/>
      <c r="Q327" s="269"/>
      <c r="R327" s="269"/>
      <c r="S327" s="38"/>
      <c r="T327" s="38"/>
      <c r="U327" s="38"/>
      <c r="V327" s="38"/>
      <c r="W327" s="38"/>
      <c r="X327" s="38"/>
      <c r="Y327" s="38"/>
      <c r="Z327" s="38"/>
    </row>
    <row r="328" spans="1:26" s="270" customFormat="1" x14ac:dyDescent="0.25">
      <c r="A328" s="280">
        <f t="shared" si="32"/>
        <v>326</v>
      </c>
      <c r="B328" s="277"/>
      <c r="C328" s="52" t="str">
        <f t="shared" si="31"/>
        <v>6UPASCUAL</v>
      </c>
      <c r="D328" s="52"/>
      <c r="E328" s="53">
        <f>+'CALCULO TARIFAS CC '!$U$45</f>
        <v>0.82386810577067515</v>
      </c>
      <c r="F328" s="54">
        <f t="shared" si="29"/>
        <v>342.5727</v>
      </c>
      <c r="G328" s="55">
        <f t="shared" si="30"/>
        <v>282.23</v>
      </c>
      <c r="H328" s="49" t="s">
        <v>276</v>
      </c>
      <c r="I328" s="38" t="s">
        <v>430</v>
      </c>
      <c r="J328" s="38">
        <v>342.5727033</v>
      </c>
      <c r="K328" s="38"/>
      <c r="L328" s="381"/>
      <c r="M328" s="268"/>
      <c r="N328" s="269"/>
      <c r="O328" s="269"/>
      <c r="P328" s="283"/>
      <c r="Q328" s="269"/>
      <c r="R328" s="269"/>
      <c r="S328" s="38"/>
      <c r="T328" s="38"/>
      <c r="U328" s="38"/>
      <c r="V328" s="38"/>
      <c r="W328" s="38"/>
      <c r="X328" s="38"/>
      <c r="Y328" s="38"/>
      <c r="Z328" s="38"/>
    </row>
    <row r="329" spans="1:26" s="270" customFormat="1" x14ac:dyDescent="0.25">
      <c r="A329" s="280">
        <f t="shared" si="32"/>
        <v>327</v>
      </c>
      <c r="B329" s="277"/>
      <c r="C329" s="52" t="str">
        <f t="shared" si="31"/>
        <v>6UPCLUB12OCT</v>
      </c>
      <c r="D329" s="52"/>
      <c r="E329" s="53">
        <f>+'CALCULO TARIFAS CC '!$U$45</f>
        <v>0.82386810577067515</v>
      </c>
      <c r="F329" s="54">
        <f t="shared" si="29"/>
        <v>11.647500000000001</v>
      </c>
      <c r="G329" s="55">
        <f t="shared" si="30"/>
        <v>9.6</v>
      </c>
      <c r="H329" s="49" t="s">
        <v>276</v>
      </c>
      <c r="I329" s="38" t="s">
        <v>815</v>
      </c>
      <c r="J329" s="38">
        <v>11.647538000000001</v>
      </c>
      <c r="K329" s="38"/>
      <c r="L329" s="381"/>
      <c r="M329" s="268"/>
      <c r="N329" s="269"/>
      <c r="O329" s="269"/>
      <c r="P329" s="283"/>
      <c r="Q329" s="269"/>
      <c r="R329" s="269"/>
      <c r="S329" s="38"/>
      <c r="T329" s="38"/>
      <c r="U329" s="38"/>
      <c r="V329" s="38"/>
      <c r="W329" s="38"/>
      <c r="X329" s="38"/>
      <c r="Y329" s="38"/>
      <c r="Z329" s="38"/>
    </row>
    <row r="330" spans="1:26" s="270" customFormat="1" x14ac:dyDescent="0.25">
      <c r="A330" s="280">
        <f t="shared" si="32"/>
        <v>328</v>
      </c>
      <c r="B330" s="277"/>
      <c r="C330" s="52" t="str">
        <f t="shared" si="31"/>
        <v>6UPCLUBVAR</v>
      </c>
      <c r="D330" s="52"/>
      <c r="E330" s="53">
        <f>+'CALCULO TARIFAS CC '!$U$45</f>
        <v>0.82386810577067515</v>
      </c>
      <c r="F330" s="54">
        <f t="shared" si="29"/>
        <v>3.7012999999999998</v>
      </c>
      <c r="G330" s="55">
        <f t="shared" si="30"/>
        <v>3.05</v>
      </c>
      <c r="H330" s="49" t="s">
        <v>276</v>
      </c>
      <c r="I330" s="38" t="s">
        <v>747</v>
      </c>
      <c r="J330" s="38">
        <v>3.7013039999999999</v>
      </c>
      <c r="K330" s="38"/>
      <c r="L330" s="381"/>
      <c r="M330" s="268"/>
      <c r="N330" s="269"/>
      <c r="O330" s="269"/>
      <c r="P330" s="283"/>
      <c r="Q330" s="269"/>
      <c r="R330" s="269"/>
      <c r="S330" s="38"/>
      <c r="T330" s="38"/>
      <c r="U330" s="38"/>
      <c r="V330" s="38"/>
      <c r="W330" s="38"/>
      <c r="X330" s="38"/>
      <c r="Y330" s="38"/>
      <c r="Z330" s="38"/>
    </row>
    <row r="331" spans="1:26" s="270" customFormat="1" x14ac:dyDescent="0.25">
      <c r="A331" s="280">
        <f t="shared" si="32"/>
        <v>329</v>
      </c>
      <c r="B331" s="277"/>
      <c r="C331" s="52" t="str">
        <f t="shared" si="31"/>
        <v>6UPECCOLA06</v>
      </c>
      <c r="D331" s="52"/>
      <c r="E331" s="53">
        <f>+'CALCULO TARIFAS CC '!$U$45</f>
        <v>0.82386810577067515</v>
      </c>
      <c r="F331" s="54">
        <f t="shared" si="29"/>
        <v>270.6232</v>
      </c>
      <c r="G331" s="55">
        <f t="shared" si="30"/>
        <v>222.96</v>
      </c>
      <c r="H331" s="49" t="s">
        <v>276</v>
      </c>
      <c r="I331" s="38" t="s">
        <v>352</v>
      </c>
      <c r="J331" s="38">
        <v>270.62317760000002</v>
      </c>
      <c r="K331" s="38"/>
      <c r="L331" s="381"/>
      <c r="M331" s="268"/>
      <c r="N331" s="269"/>
      <c r="O331" s="269"/>
      <c r="P331" s="283"/>
      <c r="Q331" s="269"/>
      <c r="R331" s="269"/>
      <c r="S331" s="38"/>
      <c r="T331" s="38"/>
      <c r="U331" s="38"/>
      <c r="V331" s="38"/>
      <c r="W331" s="38"/>
      <c r="X331" s="38"/>
      <c r="Y331" s="38"/>
      <c r="Z331" s="38"/>
    </row>
    <row r="332" spans="1:26" x14ac:dyDescent="0.25">
      <c r="A332" s="280">
        <f t="shared" si="32"/>
        <v>330</v>
      </c>
      <c r="B332" s="277"/>
      <c r="C332" s="52" t="str">
        <f t="shared" si="31"/>
        <v>6UPECCOLA51</v>
      </c>
      <c r="D332" s="52"/>
      <c r="E332" s="53">
        <f>+'CALCULO TARIFAS CC '!$U$45</f>
        <v>0.82386810577067515</v>
      </c>
      <c r="F332" s="54">
        <f t="shared" si="29"/>
        <v>369.47340000000003</v>
      </c>
      <c r="G332" s="55">
        <f t="shared" si="30"/>
        <v>304.39999999999998</v>
      </c>
      <c r="H332" s="49" t="s">
        <v>276</v>
      </c>
      <c r="I332" s="38" t="s">
        <v>353</v>
      </c>
      <c r="J332" s="38">
        <v>369.47340919999999</v>
      </c>
      <c r="K332" s="38"/>
      <c r="L332" s="381"/>
      <c r="M332" s="268"/>
      <c r="N332" s="269"/>
      <c r="O332" s="269"/>
      <c r="P332" s="283"/>
      <c r="Q332" s="269"/>
      <c r="R332" s="269"/>
      <c r="S332" s="38"/>
      <c r="T332" s="38"/>
      <c r="U332" s="38"/>
      <c r="V332" s="38"/>
      <c r="W332" s="38"/>
      <c r="X332" s="38"/>
      <c r="Y332" s="38"/>
      <c r="Z332" s="38"/>
    </row>
    <row r="333" spans="1:26" s="281" customFormat="1" x14ac:dyDescent="0.25">
      <c r="A333" s="280">
        <f t="shared" si="32"/>
        <v>331</v>
      </c>
      <c r="B333" s="277"/>
      <c r="C333" s="52" t="str">
        <f t="shared" si="31"/>
        <v>6UPECCOLA63</v>
      </c>
      <c r="D333" s="52"/>
      <c r="E333" s="53">
        <f>+'CALCULO TARIFAS CC '!$U$45</f>
        <v>0.82386810577067515</v>
      </c>
      <c r="F333" s="54">
        <f t="shared" si="29"/>
        <v>91.546000000000006</v>
      </c>
      <c r="G333" s="55">
        <f t="shared" si="30"/>
        <v>75.42</v>
      </c>
      <c r="H333" s="49" t="s">
        <v>276</v>
      </c>
      <c r="I333" s="38" t="s">
        <v>488</v>
      </c>
      <c r="J333" s="38">
        <v>91.545972399999997</v>
      </c>
      <c r="K333" s="38"/>
      <c r="L333" s="381"/>
      <c r="M333" s="268"/>
      <c r="N333" s="269"/>
      <c r="O333" s="269"/>
      <c r="P333" s="283"/>
      <c r="Q333" s="269"/>
      <c r="R333" s="269"/>
      <c r="S333" s="38"/>
      <c r="T333" s="38"/>
      <c r="U333" s="38"/>
      <c r="V333" s="38"/>
      <c r="W333" s="38"/>
      <c r="X333" s="38"/>
      <c r="Y333" s="38"/>
      <c r="Z333" s="38"/>
    </row>
    <row r="334" spans="1:26" s="281" customFormat="1" x14ac:dyDescent="0.25">
      <c r="A334" s="280">
        <f t="shared" si="32"/>
        <v>332</v>
      </c>
      <c r="B334" s="277"/>
      <c r="C334" s="52" t="str">
        <f t="shared" si="31"/>
        <v>6UPEDFFOODS</v>
      </c>
      <c r="D334" s="52"/>
      <c r="E334" s="53">
        <f>+'CALCULO TARIFAS CC '!$U$45</f>
        <v>0.82386810577067515</v>
      </c>
      <c r="F334" s="54">
        <f t="shared" si="29"/>
        <v>156.0343</v>
      </c>
      <c r="G334" s="55">
        <f t="shared" si="30"/>
        <v>128.55000000000001</v>
      </c>
      <c r="H334" s="49" t="s">
        <v>276</v>
      </c>
      <c r="I334" s="38" t="s">
        <v>816</v>
      </c>
      <c r="J334" s="38">
        <v>156.03427189999999</v>
      </c>
      <c r="K334" s="38"/>
      <c r="L334" s="381"/>
      <c r="M334" s="268"/>
      <c r="N334" s="269"/>
      <c r="O334" s="269"/>
      <c r="P334" s="283"/>
      <c r="Q334" s="269"/>
      <c r="R334" s="269"/>
      <c r="S334" s="38"/>
      <c r="T334" s="38"/>
      <c r="U334" s="38"/>
      <c r="V334" s="38"/>
      <c r="W334" s="38"/>
      <c r="X334" s="38"/>
      <c r="Y334" s="38"/>
      <c r="Z334" s="38"/>
    </row>
    <row r="335" spans="1:26" s="281" customFormat="1" x14ac:dyDescent="0.25">
      <c r="A335" s="280">
        <f t="shared" si="32"/>
        <v>333</v>
      </c>
      <c r="B335" s="277"/>
      <c r="C335" s="52" t="str">
        <f t="shared" si="31"/>
        <v>6GPEDREGAL</v>
      </c>
      <c r="D335" s="52"/>
      <c r="E335" s="53">
        <f>+'CALCULO TARIFAS CC '!$U$45</f>
        <v>0.82386810577067515</v>
      </c>
      <c r="F335" s="54">
        <f t="shared" si="29"/>
        <v>105.2704</v>
      </c>
      <c r="G335" s="55">
        <f t="shared" si="30"/>
        <v>86.73</v>
      </c>
      <c r="H335" s="49" t="s">
        <v>276</v>
      </c>
      <c r="I335" s="38" t="s">
        <v>32</v>
      </c>
      <c r="J335" s="38">
        <v>105.27040100000001</v>
      </c>
      <c r="K335" s="38"/>
      <c r="L335" s="381"/>
      <c r="M335" s="268"/>
      <c r="N335" s="269"/>
      <c r="O335" s="269"/>
      <c r="P335" s="283"/>
      <c r="Q335" s="269"/>
      <c r="R335" s="269"/>
      <c r="S335" s="38"/>
      <c r="T335" s="38"/>
      <c r="U335" s="38"/>
      <c r="V335" s="38"/>
      <c r="W335" s="38"/>
      <c r="X335" s="38"/>
      <c r="Y335" s="38"/>
      <c r="Z335" s="38"/>
    </row>
    <row r="336" spans="1:26" s="281" customFormat="1" x14ac:dyDescent="0.25">
      <c r="A336" s="280">
        <f t="shared" si="32"/>
        <v>334</v>
      </c>
      <c r="B336" s="277"/>
      <c r="C336" s="52" t="str">
        <f t="shared" si="31"/>
        <v>6GPERLANORT</v>
      </c>
      <c r="D336" s="52"/>
      <c r="E336" s="53">
        <f>+'CALCULO TARIFAS CC '!$U$45</f>
        <v>0.82386810577067515</v>
      </c>
      <c r="F336" s="54">
        <f t="shared" si="29"/>
        <v>5.3483999999999998</v>
      </c>
      <c r="G336" s="55">
        <f t="shared" si="30"/>
        <v>4.41</v>
      </c>
      <c r="H336" s="49" t="s">
        <v>276</v>
      </c>
      <c r="I336" s="38" t="s">
        <v>33</v>
      </c>
      <c r="J336" s="38">
        <v>5.3483909000000001</v>
      </c>
      <c r="K336" s="38"/>
      <c r="L336" s="381"/>
      <c r="M336" s="268"/>
      <c r="N336" s="269"/>
      <c r="O336" s="269"/>
      <c r="P336" s="283"/>
      <c r="Q336" s="269"/>
      <c r="R336" s="269"/>
      <c r="S336" s="38"/>
      <c r="T336" s="38"/>
      <c r="U336" s="38"/>
      <c r="V336" s="38"/>
      <c r="W336" s="38"/>
      <c r="X336" s="38"/>
      <c r="Y336" s="38"/>
      <c r="Z336" s="38"/>
    </row>
    <row r="337" spans="1:26" s="281" customFormat="1" x14ac:dyDescent="0.25">
      <c r="A337" s="280">
        <f t="shared" si="32"/>
        <v>335</v>
      </c>
      <c r="B337" s="277"/>
      <c r="C337" s="52" t="str">
        <f t="shared" si="31"/>
        <v>6GPERLASUR</v>
      </c>
      <c r="D337" s="52"/>
      <c r="E337" s="53">
        <f>+'CALCULO TARIFAS CC '!$U$45</f>
        <v>0.82386810577067515</v>
      </c>
      <c r="F337" s="54">
        <f t="shared" ref="F337:F341" si="33">ROUND(J337,4)</f>
        <v>4.6132999999999997</v>
      </c>
      <c r="G337" s="55">
        <f t="shared" ref="G337:G341" si="34">+ROUND(F337*E337,2)</f>
        <v>3.8</v>
      </c>
      <c r="H337" s="49" t="s">
        <v>276</v>
      </c>
      <c r="I337" s="38" t="s">
        <v>34</v>
      </c>
      <c r="J337" s="38">
        <v>4.6133211000000003</v>
      </c>
      <c r="K337" s="38"/>
      <c r="L337" s="381"/>
      <c r="M337" s="268"/>
      <c r="N337" s="269"/>
      <c r="O337" s="269"/>
      <c r="P337" s="283"/>
      <c r="Q337" s="269"/>
      <c r="R337" s="269"/>
      <c r="S337" s="38"/>
      <c r="T337" s="38"/>
      <c r="U337" s="38"/>
      <c r="V337" s="38"/>
      <c r="W337" s="38"/>
      <c r="X337" s="38"/>
      <c r="Y337" s="38"/>
      <c r="Z337" s="38"/>
    </row>
    <row r="338" spans="1:26" s="281" customFormat="1" x14ac:dyDescent="0.25">
      <c r="A338" s="280">
        <f t="shared" si="32"/>
        <v>336</v>
      </c>
      <c r="B338" s="277"/>
      <c r="C338" s="52" t="str">
        <f t="shared" si="31"/>
        <v>6UPETITEPMA</v>
      </c>
      <c r="D338" s="52"/>
      <c r="E338" s="53">
        <f>+'CALCULO TARIFAS CC '!$U$45</f>
        <v>0.82386810577067515</v>
      </c>
      <c r="F338" s="54">
        <f t="shared" si="33"/>
        <v>20.325900000000001</v>
      </c>
      <c r="G338" s="55">
        <f t="shared" si="34"/>
        <v>16.75</v>
      </c>
      <c r="H338" s="49" t="s">
        <v>276</v>
      </c>
      <c r="I338" s="38" t="s">
        <v>519</v>
      </c>
      <c r="J338" s="38">
        <v>20.325945900000001</v>
      </c>
      <c r="K338" s="38"/>
      <c r="L338" s="381"/>
      <c r="M338" s="268"/>
      <c r="N338" s="269"/>
      <c r="O338" s="269"/>
      <c r="P338" s="283"/>
      <c r="Q338" s="269"/>
      <c r="R338" s="269"/>
      <c r="S338" s="38"/>
      <c r="T338" s="38"/>
      <c r="U338" s="38"/>
      <c r="V338" s="38"/>
      <c r="W338" s="38"/>
      <c r="X338" s="38"/>
      <c r="Y338" s="38"/>
      <c r="Z338" s="38"/>
    </row>
    <row r="339" spans="1:26" s="281" customFormat="1" x14ac:dyDescent="0.25">
      <c r="A339" s="280">
        <f t="shared" si="32"/>
        <v>337</v>
      </c>
      <c r="B339" s="277"/>
      <c r="C339" s="52" t="str">
        <f t="shared" si="31"/>
        <v>6UPETPMA</v>
      </c>
      <c r="D339" s="52"/>
      <c r="E339" s="53">
        <f>+'CALCULO TARIFAS CC '!$U$45</f>
        <v>0.82386810577067515</v>
      </c>
      <c r="F339" s="54">
        <f t="shared" si="33"/>
        <v>99.278099999999995</v>
      </c>
      <c r="G339" s="55">
        <f t="shared" si="34"/>
        <v>81.790000000000006</v>
      </c>
      <c r="H339" s="49" t="s">
        <v>276</v>
      </c>
      <c r="I339" s="38" t="s">
        <v>440</v>
      </c>
      <c r="J339" s="38">
        <v>99.278078399999998</v>
      </c>
      <c r="K339" s="38"/>
      <c r="L339" s="381"/>
      <c r="M339" s="268"/>
      <c r="N339" s="269"/>
      <c r="O339" s="269"/>
      <c r="P339" s="283"/>
      <c r="Q339" s="269"/>
      <c r="R339" s="269"/>
      <c r="S339" s="38"/>
      <c r="T339" s="38"/>
      <c r="U339" s="38"/>
      <c r="V339" s="38"/>
      <c r="W339" s="38"/>
      <c r="X339" s="38"/>
      <c r="Y339" s="38"/>
      <c r="Z339" s="38"/>
    </row>
    <row r="340" spans="1:26" s="281" customFormat="1" x14ac:dyDescent="0.25">
      <c r="A340" s="280">
        <f t="shared" si="32"/>
        <v>338</v>
      </c>
      <c r="B340" s="277"/>
      <c r="C340" s="52" t="str">
        <f t="shared" si="31"/>
        <v>6UPETROHIELO</v>
      </c>
      <c r="D340" s="52"/>
      <c r="E340" s="53">
        <f>+'CALCULO TARIFAS CC '!$U$45</f>
        <v>0.82386810577067515</v>
      </c>
      <c r="F340" s="54">
        <f t="shared" si="33"/>
        <v>198.68600000000001</v>
      </c>
      <c r="G340" s="55">
        <f t="shared" si="34"/>
        <v>163.69</v>
      </c>
      <c r="H340" s="49" t="s">
        <v>276</v>
      </c>
      <c r="I340" s="38" t="s">
        <v>748</v>
      </c>
      <c r="J340" s="38">
        <v>198.68601319999999</v>
      </c>
      <c r="K340" s="38"/>
      <c r="L340" s="381"/>
      <c r="M340" s="268"/>
      <c r="N340" s="269"/>
      <c r="O340" s="269"/>
      <c r="P340" s="283"/>
      <c r="Q340" s="269"/>
      <c r="R340" s="269"/>
      <c r="S340" s="38"/>
      <c r="T340" s="38"/>
      <c r="U340" s="38"/>
      <c r="V340" s="38"/>
      <c r="W340" s="38"/>
      <c r="X340" s="38"/>
      <c r="Y340" s="38"/>
      <c r="Z340" s="38"/>
    </row>
    <row r="341" spans="1:26" s="281" customFormat="1" x14ac:dyDescent="0.25">
      <c r="A341" s="280">
        <f t="shared" si="32"/>
        <v>339</v>
      </c>
      <c r="B341" s="277"/>
      <c r="C341" s="52" t="str">
        <f t="shared" si="31"/>
        <v>6UPFOTOC50</v>
      </c>
      <c r="D341" s="52"/>
      <c r="E341" s="53">
        <f>+'CALCULO TARIFAS CC '!$U$45</f>
        <v>0.82386810577067515</v>
      </c>
      <c r="F341" s="54">
        <f t="shared" si="33"/>
        <v>33.867199999999997</v>
      </c>
      <c r="G341" s="55">
        <f t="shared" si="34"/>
        <v>27.9</v>
      </c>
      <c r="H341" s="49" t="s">
        <v>276</v>
      </c>
      <c r="I341" s="38" t="s">
        <v>749</v>
      </c>
      <c r="J341" s="38">
        <v>33.867235899999997</v>
      </c>
      <c r="K341" s="38"/>
      <c r="L341" s="381"/>
      <c r="M341" s="268"/>
      <c r="N341" s="269"/>
      <c r="O341" s="269"/>
      <c r="P341" s="283"/>
      <c r="Q341" s="269"/>
      <c r="R341" s="269"/>
      <c r="S341" s="38"/>
      <c r="T341" s="38"/>
      <c r="U341" s="38"/>
      <c r="V341" s="38"/>
      <c r="W341" s="38"/>
      <c r="X341" s="38"/>
      <c r="Y341" s="38"/>
      <c r="Z341" s="38"/>
    </row>
    <row r="342" spans="1:26" s="313" customFormat="1" x14ac:dyDescent="0.25">
      <c r="A342" s="280">
        <f t="shared" si="32"/>
        <v>340</v>
      </c>
      <c r="B342" s="277"/>
      <c r="C342" s="52" t="str">
        <f t="shared" si="31"/>
        <v>6UPFOTOCEN</v>
      </c>
      <c r="D342" s="52"/>
      <c r="E342" s="53">
        <f>+'CALCULO TARIFAS CC '!$U$45</f>
        <v>0.82386810577067515</v>
      </c>
      <c r="F342" s="54">
        <f t="shared" ref="F342:F425" si="35">ROUND(J342,4)</f>
        <v>1.4873000000000001</v>
      </c>
      <c r="G342" s="55">
        <f t="shared" ref="G342:G425" si="36">+ROUND(F342*E342,2)</f>
        <v>1.23</v>
      </c>
      <c r="H342" s="49" t="s">
        <v>276</v>
      </c>
      <c r="I342" s="38" t="s">
        <v>750</v>
      </c>
      <c r="J342" s="38">
        <v>1.4872554</v>
      </c>
      <c r="K342" s="38"/>
      <c r="L342" s="381"/>
      <c r="M342" s="268"/>
      <c r="N342" s="269"/>
      <c r="O342" s="269"/>
      <c r="P342" s="283"/>
      <c r="Q342" s="269"/>
      <c r="R342" s="269"/>
      <c r="S342" s="38"/>
      <c r="T342" s="38"/>
      <c r="U342" s="38"/>
      <c r="V342" s="38"/>
      <c r="W342" s="38"/>
      <c r="X342" s="38"/>
      <c r="Y342" s="38"/>
      <c r="Z342" s="38"/>
    </row>
    <row r="343" spans="1:26" s="325" customFormat="1" x14ac:dyDescent="0.25">
      <c r="A343" s="280">
        <f t="shared" si="32"/>
        <v>341</v>
      </c>
      <c r="B343" s="277"/>
      <c r="C343" s="52" t="str">
        <f t="shared" si="31"/>
        <v>6UPFOTOMMALL</v>
      </c>
      <c r="D343" s="52"/>
      <c r="E343" s="53">
        <f>+'CALCULO TARIFAS CC '!$U$45</f>
        <v>0.82386810577067515</v>
      </c>
      <c r="F343" s="54">
        <f t="shared" si="35"/>
        <v>2.5764</v>
      </c>
      <c r="G343" s="55">
        <f t="shared" si="36"/>
        <v>2.12</v>
      </c>
      <c r="H343" s="49" t="s">
        <v>276</v>
      </c>
      <c r="I343" s="38" t="s">
        <v>751</v>
      </c>
      <c r="J343" s="38">
        <v>2.5763761000000001</v>
      </c>
      <c r="K343" s="38"/>
      <c r="L343" s="381"/>
      <c r="M343" s="268"/>
      <c r="N343" s="269"/>
      <c r="O343" s="269"/>
      <c r="P343" s="283"/>
      <c r="Q343" s="269"/>
      <c r="R343" s="269"/>
      <c r="S343" s="38"/>
      <c r="T343" s="38"/>
      <c r="U343" s="38"/>
      <c r="V343" s="38"/>
      <c r="W343" s="38"/>
      <c r="X343" s="38"/>
      <c r="Y343" s="38"/>
      <c r="Z343" s="38"/>
    </row>
    <row r="344" spans="1:26" s="325" customFormat="1" x14ac:dyDescent="0.25">
      <c r="A344" s="280">
        <f t="shared" si="32"/>
        <v>342</v>
      </c>
      <c r="B344" s="277"/>
      <c r="C344" s="52" t="str">
        <f t="shared" si="31"/>
        <v>6UPFOTOZLIB1</v>
      </c>
      <c r="D344" s="52"/>
      <c r="E344" s="53">
        <f>+'CALCULO TARIFAS CC '!$U$45</f>
        <v>0.82386810577067515</v>
      </c>
      <c r="F344" s="54">
        <f t="shared" si="35"/>
        <v>7.6692999999999998</v>
      </c>
      <c r="G344" s="55">
        <f t="shared" si="36"/>
        <v>6.32</v>
      </c>
      <c r="H344" s="49" t="s">
        <v>276</v>
      </c>
      <c r="I344" s="38" t="s">
        <v>752</v>
      </c>
      <c r="J344" s="38">
        <v>7.6692875000000003</v>
      </c>
      <c r="K344" s="38"/>
      <c r="L344" s="381"/>
      <c r="M344" s="268"/>
      <c r="N344" s="269"/>
      <c r="O344" s="269"/>
      <c r="P344" s="283"/>
      <c r="Q344" s="269"/>
      <c r="R344" s="269"/>
      <c r="S344" s="38"/>
      <c r="T344" s="38"/>
      <c r="U344" s="38"/>
      <c r="V344" s="38"/>
      <c r="W344" s="38"/>
      <c r="X344" s="38"/>
      <c r="Y344" s="38"/>
      <c r="Z344" s="38"/>
    </row>
    <row r="345" spans="1:26" s="325" customFormat="1" x14ac:dyDescent="0.25">
      <c r="A345" s="280">
        <f t="shared" si="32"/>
        <v>343</v>
      </c>
      <c r="B345" s="277"/>
      <c r="C345" s="52" t="str">
        <f t="shared" si="31"/>
        <v>6UPFOTOZLIB2</v>
      </c>
      <c r="D345" s="52"/>
      <c r="E345" s="53">
        <f>+'CALCULO TARIFAS CC '!$U$45</f>
        <v>0.82386810577067515</v>
      </c>
      <c r="F345" s="54">
        <f t="shared" si="35"/>
        <v>6.3460000000000001</v>
      </c>
      <c r="G345" s="55">
        <f t="shared" si="36"/>
        <v>5.23</v>
      </c>
      <c r="H345" s="49" t="s">
        <v>276</v>
      </c>
      <c r="I345" s="38" t="s">
        <v>753</v>
      </c>
      <c r="J345" s="38">
        <v>6.3460492999999998</v>
      </c>
      <c r="K345" s="38"/>
      <c r="L345" s="381"/>
      <c r="M345" s="268"/>
      <c r="N345" s="269"/>
      <c r="O345" s="269"/>
      <c r="P345" s="283"/>
      <c r="Q345" s="269"/>
      <c r="R345" s="269"/>
      <c r="S345" s="38"/>
      <c r="T345" s="38"/>
      <c r="U345" s="38"/>
      <c r="V345" s="38"/>
      <c r="W345" s="38"/>
      <c r="X345" s="38"/>
      <c r="Y345" s="38"/>
      <c r="Z345" s="38"/>
    </row>
    <row r="346" spans="1:26" s="325" customFormat="1" x14ac:dyDescent="0.25">
      <c r="A346" s="280">
        <f t="shared" si="32"/>
        <v>344</v>
      </c>
      <c r="B346" s="277"/>
      <c r="C346" s="52" t="str">
        <f t="shared" si="31"/>
        <v>6UPGENERALES</v>
      </c>
      <c r="D346" s="52"/>
      <c r="E346" s="53">
        <f>+'CALCULO TARIFAS CC '!$U$45</f>
        <v>0.82386810577067515</v>
      </c>
      <c r="F346" s="54">
        <f t="shared" si="35"/>
        <v>306.57760000000002</v>
      </c>
      <c r="G346" s="55">
        <f t="shared" si="36"/>
        <v>252.58</v>
      </c>
      <c r="H346" s="49" t="s">
        <v>276</v>
      </c>
      <c r="I346" s="38" t="s">
        <v>653</v>
      </c>
      <c r="J346" s="38">
        <v>306.5776257</v>
      </c>
      <c r="K346" s="38"/>
      <c r="L346" s="381"/>
      <c r="M346" s="268"/>
      <c r="N346" s="269"/>
      <c r="O346" s="269"/>
      <c r="P346" s="283"/>
      <c r="Q346" s="269"/>
      <c r="R346" s="269"/>
      <c r="S346" s="38"/>
      <c r="T346" s="38"/>
      <c r="U346" s="38"/>
      <c r="V346" s="38"/>
      <c r="W346" s="38"/>
      <c r="X346" s="38"/>
      <c r="Y346" s="38"/>
      <c r="Z346" s="38"/>
    </row>
    <row r="347" spans="1:26" s="325" customFormat="1" x14ac:dyDescent="0.25">
      <c r="A347" s="280">
        <f t="shared" si="32"/>
        <v>345</v>
      </c>
      <c r="B347" s="277"/>
      <c r="C347" s="52" t="str">
        <f t="shared" si="31"/>
        <v>6UPHACQUA1</v>
      </c>
      <c r="D347" s="52"/>
      <c r="E347" s="53">
        <f>+'CALCULO TARIFAS CC '!$U$45</f>
        <v>0.82386810577067515</v>
      </c>
      <c r="F347" s="54">
        <f t="shared" si="35"/>
        <v>55.904299999999999</v>
      </c>
      <c r="G347" s="55">
        <f t="shared" si="36"/>
        <v>46.06</v>
      </c>
      <c r="H347" s="49" t="s">
        <v>276</v>
      </c>
      <c r="I347" s="38" t="s">
        <v>585</v>
      </c>
      <c r="J347" s="38">
        <v>55.904335199999998</v>
      </c>
      <c r="K347" s="38"/>
      <c r="L347" s="381"/>
      <c r="M347" s="268"/>
      <c r="N347" s="269"/>
      <c r="O347" s="269"/>
      <c r="P347" s="283"/>
      <c r="Q347" s="269"/>
      <c r="R347" s="269"/>
      <c r="S347" s="38"/>
      <c r="T347" s="38"/>
      <c r="U347" s="38"/>
      <c r="V347" s="38"/>
      <c r="W347" s="38"/>
      <c r="X347" s="38"/>
      <c r="Y347" s="38"/>
      <c r="Z347" s="38"/>
    </row>
    <row r="348" spans="1:26" s="325" customFormat="1" x14ac:dyDescent="0.25">
      <c r="A348" s="280">
        <f t="shared" si="32"/>
        <v>346</v>
      </c>
      <c r="B348" s="277"/>
      <c r="C348" s="52" t="str">
        <f t="shared" si="31"/>
        <v>6UPHCECCLUB</v>
      </c>
      <c r="D348" s="52"/>
      <c r="E348" s="53">
        <f>+'CALCULO TARIFAS CC '!$U$45</f>
        <v>0.82386810577067515</v>
      </c>
      <c r="F348" s="54">
        <f t="shared" si="35"/>
        <v>64.5839</v>
      </c>
      <c r="G348" s="55">
        <f t="shared" si="36"/>
        <v>53.21</v>
      </c>
      <c r="H348" s="49" t="s">
        <v>276</v>
      </c>
      <c r="I348" s="38" t="s">
        <v>690</v>
      </c>
      <c r="J348" s="38">
        <v>64.5839371</v>
      </c>
      <c r="K348" s="38"/>
      <c r="L348" s="381"/>
      <c r="M348" s="268"/>
      <c r="N348" s="269"/>
      <c r="O348" s="269"/>
      <c r="P348" s="283"/>
      <c r="Q348" s="269"/>
      <c r="R348" s="269"/>
      <c r="S348" s="38"/>
      <c r="T348" s="38"/>
      <c r="U348" s="38"/>
      <c r="V348" s="38"/>
      <c r="W348" s="38"/>
      <c r="X348" s="38"/>
      <c r="Y348" s="38"/>
      <c r="Z348" s="38"/>
    </row>
    <row r="349" spans="1:26" s="325" customFormat="1" x14ac:dyDescent="0.25">
      <c r="A349" s="280">
        <f t="shared" si="32"/>
        <v>347</v>
      </c>
      <c r="B349" s="277"/>
      <c r="C349" s="52" t="str">
        <f t="shared" si="31"/>
        <v>6UPHDREAM</v>
      </c>
      <c r="D349" s="52"/>
      <c r="E349" s="53">
        <f>+'CALCULO TARIFAS CC '!$U$45</f>
        <v>0.82386810577067515</v>
      </c>
      <c r="F349" s="54">
        <f t="shared" si="35"/>
        <v>133.57749999999999</v>
      </c>
      <c r="G349" s="55">
        <f t="shared" si="36"/>
        <v>110.05</v>
      </c>
      <c r="H349" s="49" t="s">
        <v>276</v>
      </c>
      <c r="I349" s="38" t="s">
        <v>775</v>
      </c>
      <c r="J349" s="38">
        <v>133.57750759999999</v>
      </c>
      <c r="K349" s="38"/>
      <c r="L349" s="381"/>
      <c r="M349" s="268"/>
      <c r="N349" s="269"/>
      <c r="O349" s="269"/>
      <c r="P349" s="283"/>
      <c r="Q349" s="269"/>
      <c r="R349" s="269"/>
      <c r="S349" s="38"/>
      <c r="T349" s="38"/>
      <c r="U349" s="38"/>
      <c r="V349" s="38"/>
      <c r="W349" s="38"/>
      <c r="X349" s="38"/>
      <c r="Y349" s="38"/>
      <c r="Z349" s="38"/>
    </row>
    <row r="350" spans="1:26" s="325" customFormat="1" x14ac:dyDescent="0.25">
      <c r="A350" s="280">
        <f t="shared" si="32"/>
        <v>348</v>
      </c>
      <c r="B350" s="277"/>
      <c r="C350" s="52" t="str">
        <f t="shared" si="31"/>
        <v>6UPHGLOB78</v>
      </c>
      <c r="D350" s="52"/>
      <c r="E350" s="53">
        <f>+'CALCULO TARIFAS CC '!$U$45</f>
        <v>0.82386810577067515</v>
      </c>
      <c r="F350" s="54">
        <f t="shared" si="35"/>
        <v>103.8121</v>
      </c>
      <c r="G350" s="55">
        <f t="shared" si="36"/>
        <v>85.53</v>
      </c>
      <c r="H350" s="49" t="s">
        <v>276</v>
      </c>
      <c r="I350" s="38" t="s">
        <v>586</v>
      </c>
      <c r="J350" s="38">
        <v>103.8120504</v>
      </c>
      <c r="K350" s="38"/>
      <c r="L350" s="381"/>
      <c r="M350" s="268"/>
      <c r="N350" s="269"/>
      <c r="O350" s="269"/>
      <c r="P350" s="283"/>
      <c r="Q350" s="269"/>
      <c r="R350" s="269"/>
      <c r="S350" s="38"/>
      <c r="T350" s="38"/>
      <c r="U350" s="38"/>
      <c r="V350" s="38"/>
      <c r="W350" s="38"/>
      <c r="X350" s="38"/>
      <c r="Y350" s="38"/>
      <c r="Z350" s="38"/>
    </row>
    <row r="351" spans="1:26" s="325" customFormat="1" x14ac:dyDescent="0.25">
      <c r="A351" s="280">
        <f t="shared" si="32"/>
        <v>349</v>
      </c>
      <c r="B351" s="277"/>
      <c r="C351" s="52" t="str">
        <f t="shared" si="31"/>
        <v>6UPHMMALL</v>
      </c>
      <c r="D351" s="52"/>
      <c r="E351" s="53">
        <f>+'CALCULO TARIFAS CC '!$U$45</f>
        <v>0.82386810577067515</v>
      </c>
      <c r="F351" s="54">
        <f t="shared" si="35"/>
        <v>58.085700000000003</v>
      </c>
      <c r="G351" s="55">
        <f t="shared" si="36"/>
        <v>47.85</v>
      </c>
      <c r="H351" s="49" t="s">
        <v>276</v>
      </c>
      <c r="I351" s="38" t="s">
        <v>691</v>
      </c>
      <c r="J351" s="38">
        <v>58.085736699999998</v>
      </c>
      <c r="K351" s="38"/>
      <c r="L351" s="381"/>
      <c r="M351" s="268"/>
      <c r="N351" s="269"/>
      <c r="O351" s="269"/>
      <c r="P351" s="283"/>
      <c r="Q351" s="269"/>
      <c r="R351" s="269"/>
      <c r="S351" s="38"/>
      <c r="T351" s="38"/>
      <c r="U351" s="38"/>
      <c r="V351" s="38"/>
      <c r="W351" s="38"/>
      <c r="X351" s="38"/>
      <c r="Y351" s="38"/>
      <c r="Z351" s="38"/>
    </row>
    <row r="352" spans="1:26" s="325" customFormat="1" x14ac:dyDescent="0.25">
      <c r="A352" s="280">
        <f t="shared" si="32"/>
        <v>350</v>
      </c>
      <c r="B352" s="277"/>
      <c r="C352" s="52" t="str">
        <f t="shared" si="31"/>
        <v>6UPHPEARL</v>
      </c>
      <c r="D352" s="52"/>
      <c r="E352" s="53">
        <f>+'CALCULO TARIFAS CC '!$U$45</f>
        <v>0.82386810577067515</v>
      </c>
      <c r="F352" s="54">
        <f t="shared" si="35"/>
        <v>27.673999999999999</v>
      </c>
      <c r="G352" s="55">
        <f t="shared" si="36"/>
        <v>22.8</v>
      </c>
      <c r="H352" s="49" t="s">
        <v>276</v>
      </c>
      <c r="I352" s="38" t="s">
        <v>776</v>
      </c>
      <c r="J352" s="38">
        <v>27.674001700000002</v>
      </c>
      <c r="K352" s="38"/>
      <c r="L352" s="381"/>
      <c r="M352" s="268"/>
      <c r="N352" s="269"/>
      <c r="O352" s="269"/>
      <c r="P352" s="283"/>
      <c r="Q352" s="269"/>
      <c r="R352" s="269"/>
      <c r="S352" s="38"/>
      <c r="T352" s="38"/>
      <c r="U352" s="38"/>
      <c r="V352" s="38"/>
      <c r="W352" s="38"/>
      <c r="X352" s="38"/>
      <c r="Y352" s="38"/>
      <c r="Z352" s="38"/>
    </row>
    <row r="353" spans="1:26" s="325" customFormat="1" x14ac:dyDescent="0.25">
      <c r="A353" s="280">
        <f t="shared" si="32"/>
        <v>351</v>
      </c>
      <c r="B353" s="277"/>
      <c r="C353" s="52" t="str">
        <f t="shared" si="31"/>
        <v>6UPHTOC71</v>
      </c>
      <c r="D353" s="52"/>
      <c r="E353" s="53">
        <f>+'CALCULO TARIFAS CC '!$U$45</f>
        <v>0.82386810577067515</v>
      </c>
      <c r="F353" s="54">
        <f t="shared" si="35"/>
        <v>1623.9631999999999</v>
      </c>
      <c r="G353" s="55">
        <f t="shared" si="36"/>
        <v>1337.93</v>
      </c>
      <c r="H353" s="49" t="s">
        <v>276</v>
      </c>
      <c r="I353" s="38" t="s">
        <v>587</v>
      </c>
      <c r="J353" s="38">
        <v>1623.963152</v>
      </c>
      <c r="K353" s="38"/>
      <c r="L353" s="381"/>
      <c r="M353" s="268"/>
      <c r="N353" s="269"/>
      <c r="O353" s="269"/>
      <c r="P353" s="283"/>
      <c r="Q353" s="269"/>
      <c r="R353" s="269"/>
      <c r="S353" s="38"/>
      <c r="T353" s="38"/>
      <c r="U353" s="38"/>
      <c r="V353" s="38"/>
      <c r="W353" s="38"/>
      <c r="X353" s="38"/>
      <c r="Y353" s="38"/>
      <c r="Z353" s="38"/>
    </row>
    <row r="354" spans="1:26" s="325" customFormat="1" x14ac:dyDescent="0.25">
      <c r="A354" s="280">
        <f t="shared" si="32"/>
        <v>352</v>
      </c>
      <c r="B354" s="277"/>
      <c r="C354" s="52" t="str">
        <f t="shared" si="31"/>
        <v>6UPHVITRI85</v>
      </c>
      <c r="D354" s="52"/>
      <c r="E354" s="53">
        <f>+'CALCULO TARIFAS CC '!$U$45</f>
        <v>0.82386810577067515</v>
      </c>
      <c r="F354" s="54">
        <f t="shared" si="35"/>
        <v>58.2746</v>
      </c>
      <c r="G354" s="55">
        <f t="shared" si="36"/>
        <v>48.01</v>
      </c>
      <c r="H354" s="49" t="s">
        <v>276</v>
      </c>
      <c r="I354" s="38" t="s">
        <v>588</v>
      </c>
      <c r="J354" s="38">
        <v>58.274594700000002</v>
      </c>
      <c r="K354" s="38"/>
      <c r="L354" s="381"/>
      <c r="M354" s="268"/>
      <c r="N354" s="269"/>
      <c r="O354" s="269"/>
      <c r="P354" s="283"/>
      <c r="Q354" s="269"/>
      <c r="R354" s="269"/>
      <c r="S354" s="38"/>
      <c r="T354" s="38"/>
      <c r="U354" s="38"/>
      <c r="V354" s="38"/>
      <c r="W354" s="38"/>
      <c r="X354" s="38"/>
      <c r="Y354" s="38"/>
      <c r="Z354" s="38"/>
    </row>
    <row r="355" spans="1:26" s="325" customFormat="1" x14ac:dyDescent="0.25">
      <c r="A355" s="280">
        <f t="shared" si="32"/>
        <v>353</v>
      </c>
      <c r="B355" s="277"/>
      <c r="C355" s="52" t="str">
        <f t="shared" si="31"/>
        <v>6UPISO13</v>
      </c>
      <c r="D355" s="52"/>
      <c r="E355" s="53">
        <f>+'CALCULO TARIFAS CC '!$U$45</f>
        <v>0.82386810577067515</v>
      </c>
      <c r="F355" s="54">
        <f t="shared" si="35"/>
        <v>54.094999999999999</v>
      </c>
      <c r="G355" s="55">
        <f t="shared" si="36"/>
        <v>44.57</v>
      </c>
      <c r="H355" s="49" t="s">
        <v>276</v>
      </c>
      <c r="I355" s="38" t="s">
        <v>692</v>
      </c>
      <c r="J355" s="38">
        <v>54.095008200000002</v>
      </c>
      <c r="K355" s="38"/>
      <c r="L355" s="381"/>
      <c r="M355" s="268"/>
      <c r="N355" s="269"/>
      <c r="O355" s="269"/>
      <c r="P355" s="283"/>
      <c r="Q355" s="269"/>
      <c r="R355" s="269"/>
      <c r="S355" s="38"/>
      <c r="T355" s="38"/>
      <c r="U355" s="38"/>
      <c r="V355" s="38"/>
      <c r="W355" s="38"/>
      <c r="X355" s="38"/>
      <c r="Y355" s="38"/>
      <c r="Z355" s="38"/>
    </row>
    <row r="356" spans="1:26" s="325" customFormat="1" x14ac:dyDescent="0.25">
      <c r="A356" s="280">
        <f t="shared" si="32"/>
        <v>354</v>
      </c>
      <c r="B356" s="277"/>
      <c r="C356" s="52" t="str">
        <f t="shared" si="31"/>
        <v>6UPLASTIG25</v>
      </c>
      <c r="D356" s="52"/>
      <c r="E356" s="53">
        <f>+'CALCULO TARIFAS CC '!$U$45</f>
        <v>0.82386810577067515</v>
      </c>
      <c r="F356" s="54">
        <f t="shared" si="35"/>
        <v>443.80130000000003</v>
      </c>
      <c r="G356" s="55">
        <f t="shared" si="36"/>
        <v>365.63</v>
      </c>
      <c r="H356" s="49" t="s">
        <v>276</v>
      </c>
      <c r="I356" s="38" t="s">
        <v>693</v>
      </c>
      <c r="J356" s="38">
        <v>443.80125930000003</v>
      </c>
      <c r="K356" s="38"/>
      <c r="L356" s="381"/>
      <c r="M356" s="268"/>
      <c r="N356" s="269"/>
      <c r="O356" s="269"/>
      <c r="P356" s="283"/>
      <c r="Q356" s="269"/>
      <c r="R356" s="269"/>
      <c r="S356" s="38"/>
      <c r="T356" s="38"/>
      <c r="U356" s="38"/>
      <c r="V356" s="38"/>
      <c r="W356" s="38"/>
      <c r="X356" s="38"/>
      <c r="Y356" s="38"/>
      <c r="Z356" s="38"/>
    </row>
    <row r="357" spans="1:26" s="325" customFormat="1" x14ac:dyDescent="0.25">
      <c r="A357" s="280">
        <f t="shared" si="32"/>
        <v>355</v>
      </c>
      <c r="B357" s="277"/>
      <c r="C357" s="52" t="str">
        <f t="shared" si="31"/>
        <v>6UPMAR1</v>
      </c>
      <c r="D357" s="52"/>
      <c r="E357" s="53">
        <f>+'CALCULO TARIFAS CC '!$U$45</f>
        <v>0.82386810577067515</v>
      </c>
      <c r="F357" s="54">
        <f t="shared" si="35"/>
        <v>41.658700000000003</v>
      </c>
      <c r="G357" s="55">
        <f t="shared" si="36"/>
        <v>34.32</v>
      </c>
      <c r="H357" s="49" t="s">
        <v>276</v>
      </c>
      <c r="I357" s="38" t="s">
        <v>518</v>
      </c>
      <c r="J357" s="38">
        <v>41.658687800000003</v>
      </c>
      <c r="K357" s="38"/>
      <c r="L357" s="381"/>
      <c r="M357" s="268"/>
      <c r="N357" s="269"/>
      <c r="O357" s="269"/>
      <c r="P357" s="283"/>
      <c r="Q357" s="269"/>
      <c r="R357" s="269"/>
      <c r="S357" s="38"/>
      <c r="T357" s="38"/>
      <c r="U357" s="38"/>
      <c r="V357" s="38"/>
      <c r="W357" s="38"/>
      <c r="X357" s="38"/>
      <c r="Y357" s="38"/>
      <c r="Z357" s="38"/>
    </row>
    <row r="358" spans="1:26" s="325" customFormat="1" x14ac:dyDescent="0.25">
      <c r="A358" s="280">
        <f t="shared" si="32"/>
        <v>356</v>
      </c>
      <c r="B358" s="277"/>
      <c r="C358" s="52" t="str">
        <f t="shared" si="31"/>
        <v>6UPOTMEN</v>
      </c>
      <c r="D358" s="52"/>
      <c r="E358" s="53">
        <f>+'CALCULO TARIFAS CC '!$U$45</f>
        <v>0.82386810577067515</v>
      </c>
      <c r="F358" s="54">
        <f t="shared" si="35"/>
        <v>2336.5077000000001</v>
      </c>
      <c r="G358" s="55">
        <f t="shared" si="36"/>
        <v>1924.97</v>
      </c>
      <c r="H358" s="49" t="s">
        <v>276</v>
      </c>
      <c r="I358" s="38" t="s">
        <v>469</v>
      </c>
      <c r="J358" s="38">
        <v>2336.5076777999998</v>
      </c>
      <c r="K358" s="38"/>
      <c r="L358" s="381"/>
      <c r="M358" s="268"/>
      <c r="N358" s="269"/>
      <c r="O358" s="269"/>
      <c r="P358" s="283"/>
      <c r="Q358" s="269"/>
      <c r="R358" s="269"/>
      <c r="S358" s="38"/>
      <c r="T358" s="38"/>
      <c r="U358" s="38"/>
      <c r="V358" s="38"/>
      <c r="W358" s="38"/>
      <c r="X358" s="38"/>
      <c r="Y358" s="38"/>
      <c r="Z358" s="38"/>
    </row>
    <row r="359" spans="1:26" s="325" customFormat="1" x14ac:dyDescent="0.25">
      <c r="A359" s="280">
        <f t="shared" si="32"/>
        <v>357</v>
      </c>
      <c r="B359" s="277"/>
      <c r="C359" s="52" t="str">
        <f t="shared" si="31"/>
        <v>6UPRICEBGOLF</v>
      </c>
      <c r="D359" s="52"/>
      <c r="E359" s="53">
        <f>+'CALCULO TARIFAS CC '!$U$45</f>
        <v>0.82386810577067515</v>
      </c>
      <c r="F359" s="54">
        <f t="shared" si="35"/>
        <v>267.89699999999999</v>
      </c>
      <c r="G359" s="55">
        <f t="shared" si="36"/>
        <v>220.71</v>
      </c>
      <c r="H359" s="49" t="s">
        <v>276</v>
      </c>
      <c r="I359" s="38" t="s">
        <v>715</v>
      </c>
      <c r="J359" s="38">
        <v>267.89702899999997</v>
      </c>
      <c r="K359" s="38"/>
      <c r="L359" s="381"/>
      <c r="M359" s="268"/>
      <c r="N359" s="269"/>
      <c r="O359" s="269"/>
      <c r="P359" s="283"/>
      <c r="Q359" s="269"/>
      <c r="R359" s="269"/>
      <c r="S359" s="38"/>
      <c r="T359" s="38"/>
      <c r="U359" s="38"/>
      <c r="V359" s="38"/>
      <c r="W359" s="38"/>
      <c r="X359" s="38"/>
      <c r="Y359" s="38"/>
      <c r="Z359" s="38"/>
    </row>
    <row r="360" spans="1:26" s="325" customFormat="1" x14ac:dyDescent="0.25">
      <c r="A360" s="280">
        <f t="shared" si="32"/>
        <v>358</v>
      </c>
      <c r="B360" s="277"/>
      <c r="C360" s="52" t="str">
        <f t="shared" si="31"/>
        <v>6UPRICECVERD</v>
      </c>
      <c r="D360" s="52"/>
      <c r="E360" s="53">
        <f>+'CALCULO TARIFAS CC '!$U$45</f>
        <v>0.82386810577067515</v>
      </c>
      <c r="F360" s="54">
        <f t="shared" si="35"/>
        <v>234.67140000000001</v>
      </c>
      <c r="G360" s="55">
        <f t="shared" si="36"/>
        <v>193.34</v>
      </c>
      <c r="H360" s="49" t="s">
        <v>276</v>
      </c>
      <c r="I360" s="38" t="s">
        <v>716</v>
      </c>
      <c r="J360" s="38">
        <v>234.67143709999999</v>
      </c>
      <c r="K360" s="38"/>
      <c r="L360" s="381"/>
      <c r="M360" s="268"/>
      <c r="N360" s="269"/>
      <c r="O360" s="269"/>
      <c r="P360" s="283"/>
      <c r="Q360" s="269"/>
      <c r="R360" s="269"/>
      <c r="S360" s="38"/>
      <c r="T360" s="38"/>
      <c r="U360" s="38"/>
      <c r="V360" s="38"/>
      <c r="W360" s="38"/>
      <c r="X360" s="38"/>
      <c r="Y360" s="38"/>
      <c r="Z360" s="38"/>
    </row>
    <row r="361" spans="1:26" s="325" customFormat="1" x14ac:dyDescent="0.25">
      <c r="A361" s="280">
        <f t="shared" si="32"/>
        <v>359</v>
      </c>
      <c r="B361" s="277"/>
      <c r="C361" s="52" t="str">
        <f t="shared" si="31"/>
        <v>6UPRICEMPARK</v>
      </c>
      <c r="D361" s="52"/>
      <c r="E361" s="53">
        <f>+'CALCULO TARIFAS CC '!$U$45</f>
        <v>0.82386810577067515</v>
      </c>
      <c r="F361" s="54">
        <f t="shared" si="35"/>
        <v>305.5172</v>
      </c>
      <c r="G361" s="55">
        <f t="shared" si="36"/>
        <v>251.71</v>
      </c>
      <c r="H361" s="49" t="s">
        <v>276</v>
      </c>
      <c r="I361" s="38" t="s">
        <v>817</v>
      </c>
      <c r="J361" s="38">
        <v>305.51722510000002</v>
      </c>
      <c r="K361" s="38"/>
      <c r="L361" s="381"/>
      <c r="M361" s="268"/>
      <c r="N361" s="269"/>
      <c r="O361" s="269"/>
      <c r="P361" s="283"/>
      <c r="Q361" s="269"/>
      <c r="R361" s="269"/>
      <c r="S361" s="38"/>
      <c r="T361" s="38"/>
      <c r="U361" s="38"/>
      <c r="V361" s="38"/>
      <c r="W361" s="38"/>
      <c r="X361" s="38"/>
      <c r="Y361" s="38"/>
      <c r="Z361" s="38"/>
    </row>
    <row r="362" spans="1:26" s="313" customFormat="1" x14ac:dyDescent="0.25">
      <c r="A362" s="280">
        <f t="shared" si="32"/>
        <v>360</v>
      </c>
      <c r="B362" s="277"/>
      <c r="C362" s="52" t="str">
        <f t="shared" si="31"/>
        <v>6UPRICEOADM</v>
      </c>
      <c r="D362" s="52"/>
      <c r="E362" s="53">
        <f>+'CALCULO TARIFAS CC '!$U$45</f>
        <v>0.82386810577067515</v>
      </c>
      <c r="F362" s="54">
        <f t="shared" si="35"/>
        <v>32.4529</v>
      </c>
      <c r="G362" s="55">
        <f t="shared" si="36"/>
        <v>26.74</v>
      </c>
      <c r="H362" s="49" t="s">
        <v>276</v>
      </c>
      <c r="I362" s="38" t="s">
        <v>717</v>
      </c>
      <c r="J362" s="38">
        <v>32.452921799999999</v>
      </c>
      <c r="K362" s="38"/>
      <c r="L362" s="381"/>
      <c r="M362" s="268"/>
      <c r="N362" s="269"/>
      <c r="O362" s="269"/>
      <c r="P362" s="283"/>
      <c r="Q362" s="269"/>
      <c r="R362" s="269"/>
      <c r="S362" s="38"/>
      <c r="T362" s="38"/>
      <c r="U362" s="38"/>
      <c r="V362" s="38"/>
      <c r="W362" s="38"/>
      <c r="X362" s="38"/>
      <c r="Y362" s="38"/>
      <c r="Z362" s="38"/>
    </row>
    <row r="363" spans="1:26" s="313" customFormat="1" x14ac:dyDescent="0.25">
      <c r="A363" s="280">
        <f t="shared" si="32"/>
        <v>361</v>
      </c>
      <c r="B363" s="277"/>
      <c r="C363" s="52" t="str">
        <f t="shared" si="31"/>
        <v>6UPRICESANT</v>
      </c>
      <c r="D363" s="52"/>
      <c r="E363" s="53">
        <f>+'CALCULO TARIFAS CC '!$U$45</f>
        <v>0.82386810577067515</v>
      </c>
      <c r="F363" s="54">
        <f t="shared" si="35"/>
        <v>220.44110000000001</v>
      </c>
      <c r="G363" s="55">
        <f t="shared" si="36"/>
        <v>181.61</v>
      </c>
      <c r="H363" s="49" t="s">
        <v>276</v>
      </c>
      <c r="I363" s="38" t="s">
        <v>718</v>
      </c>
      <c r="J363" s="38">
        <v>220.44114809999999</v>
      </c>
      <c r="K363" s="38"/>
      <c r="L363" s="381"/>
      <c r="M363" s="268"/>
      <c r="N363" s="269"/>
      <c r="O363" s="269"/>
      <c r="P363" s="283"/>
      <c r="Q363" s="269"/>
      <c r="R363" s="269"/>
      <c r="S363" s="38"/>
      <c r="T363" s="38"/>
      <c r="U363" s="38"/>
      <c r="V363" s="38"/>
      <c r="W363" s="38"/>
      <c r="X363" s="38"/>
      <c r="Y363" s="38"/>
      <c r="Z363" s="38"/>
    </row>
    <row r="364" spans="1:26" s="313" customFormat="1" x14ac:dyDescent="0.25">
      <c r="A364" s="280">
        <f t="shared" si="32"/>
        <v>362</v>
      </c>
      <c r="B364" s="277"/>
      <c r="C364" s="52" t="str">
        <f t="shared" si="31"/>
        <v>6UPRICEVIABR</v>
      </c>
      <c r="D364" s="52"/>
      <c r="E364" s="53">
        <f>+'CALCULO TARIFAS CC '!$U$45</f>
        <v>0.82386810577067515</v>
      </c>
      <c r="F364" s="54">
        <f t="shared" si="35"/>
        <v>229.8819</v>
      </c>
      <c r="G364" s="55">
        <f t="shared" si="36"/>
        <v>189.39</v>
      </c>
      <c r="H364" s="49" t="s">
        <v>276</v>
      </c>
      <c r="I364" s="38" t="s">
        <v>719</v>
      </c>
      <c r="J364" s="38">
        <v>229.88186529999999</v>
      </c>
      <c r="K364" s="38"/>
      <c r="L364" s="381"/>
      <c r="M364" s="268"/>
      <c r="N364" s="269"/>
      <c r="O364" s="269"/>
      <c r="P364" s="283"/>
      <c r="Q364" s="269"/>
      <c r="R364" s="269"/>
      <c r="S364" s="38"/>
      <c r="T364" s="38"/>
      <c r="U364" s="38"/>
      <c r="V364" s="38"/>
      <c r="W364" s="38"/>
      <c r="X364" s="38"/>
      <c r="Y364" s="38"/>
      <c r="Z364" s="38"/>
    </row>
    <row r="365" spans="1:26" s="313" customFormat="1" x14ac:dyDescent="0.25">
      <c r="A365" s="280">
        <f t="shared" si="32"/>
        <v>363</v>
      </c>
      <c r="B365" s="277"/>
      <c r="C365" s="52" t="str">
        <f t="shared" si="31"/>
        <v>6UPRICEVILAF</v>
      </c>
      <c r="D365" s="52"/>
      <c r="E365" s="53">
        <f>+'CALCULO TARIFAS CC '!$U$45</f>
        <v>0.82386810577067515</v>
      </c>
      <c r="F365" s="54">
        <f t="shared" si="35"/>
        <v>229.53440000000001</v>
      </c>
      <c r="G365" s="55">
        <f t="shared" si="36"/>
        <v>189.11</v>
      </c>
      <c r="H365" s="49" t="s">
        <v>276</v>
      </c>
      <c r="I365" s="38" t="s">
        <v>720</v>
      </c>
      <c r="J365" s="38">
        <v>229.5344049</v>
      </c>
      <c r="K365" s="38"/>
      <c r="L365" s="381"/>
      <c r="M365" s="268"/>
      <c r="N365" s="269"/>
      <c r="O365" s="269"/>
      <c r="P365" s="283"/>
      <c r="Q365" s="269"/>
      <c r="R365" s="269"/>
      <c r="S365" s="38"/>
      <c r="T365" s="38"/>
      <c r="U365" s="38"/>
      <c r="V365" s="38"/>
      <c r="W365" s="38"/>
      <c r="X365" s="38"/>
      <c r="Y365" s="38"/>
      <c r="Z365" s="38"/>
    </row>
    <row r="366" spans="1:26" s="313" customFormat="1" x14ac:dyDescent="0.25">
      <c r="A366" s="280">
        <f t="shared" si="32"/>
        <v>364</v>
      </c>
      <c r="B366" s="277"/>
      <c r="C366" s="52" t="str">
        <f t="shared" si="31"/>
        <v>6UPROCARSA</v>
      </c>
      <c r="D366" s="52"/>
      <c r="E366" s="53">
        <f>+'CALCULO TARIFAS CC '!$U$45</f>
        <v>0.82386810577067515</v>
      </c>
      <c r="F366" s="54">
        <f t="shared" si="35"/>
        <v>27.765699999999999</v>
      </c>
      <c r="G366" s="55">
        <f t="shared" si="36"/>
        <v>22.88</v>
      </c>
      <c r="H366" s="49" t="s">
        <v>276</v>
      </c>
      <c r="I366" s="38" t="s">
        <v>59</v>
      </c>
      <c r="J366" s="38">
        <v>27.765720300000002</v>
      </c>
      <c r="K366" s="38"/>
      <c r="L366" s="381"/>
      <c r="M366" s="268"/>
      <c r="N366" s="269"/>
      <c r="O366" s="269"/>
      <c r="P366" s="283"/>
      <c r="Q366" s="269"/>
      <c r="R366" s="269"/>
      <c r="S366" s="38"/>
      <c r="T366" s="38"/>
      <c r="U366" s="38"/>
      <c r="V366" s="38"/>
      <c r="W366" s="38"/>
      <c r="X366" s="38"/>
      <c r="Y366" s="38"/>
      <c r="Z366" s="38"/>
    </row>
    <row r="367" spans="1:26" s="313" customFormat="1" x14ac:dyDescent="0.25">
      <c r="A367" s="280">
        <f t="shared" si="32"/>
        <v>365</v>
      </c>
      <c r="B367" s="277"/>
      <c r="C367" s="52" t="str">
        <f t="shared" si="31"/>
        <v>6UPRODHIELO</v>
      </c>
      <c r="D367" s="52"/>
      <c r="E367" s="53">
        <f>+'CALCULO TARIFAS CC '!$U$45</f>
        <v>0.82386810577067515</v>
      </c>
      <c r="F367" s="54">
        <f t="shared" si="35"/>
        <v>204.34960000000001</v>
      </c>
      <c r="G367" s="55">
        <f t="shared" si="36"/>
        <v>168.36</v>
      </c>
      <c r="H367" s="49" t="s">
        <v>276</v>
      </c>
      <c r="I367" s="38" t="s">
        <v>818</v>
      </c>
      <c r="J367" s="38">
        <v>204.3495958</v>
      </c>
      <c r="K367" s="38"/>
      <c r="L367" s="381"/>
      <c r="M367" s="268"/>
      <c r="N367" s="269"/>
      <c r="O367" s="269"/>
      <c r="P367" s="283"/>
      <c r="Q367" s="269"/>
      <c r="R367" s="269"/>
      <c r="S367" s="38"/>
      <c r="T367" s="38"/>
      <c r="U367" s="38"/>
      <c r="V367" s="38"/>
      <c r="W367" s="38"/>
      <c r="X367" s="38"/>
      <c r="Y367" s="38"/>
      <c r="Z367" s="38"/>
    </row>
    <row r="368" spans="1:26" s="313" customFormat="1" x14ac:dyDescent="0.25">
      <c r="A368" s="280">
        <f t="shared" si="32"/>
        <v>366</v>
      </c>
      <c r="B368" s="277"/>
      <c r="C368" s="52" t="str">
        <f t="shared" si="31"/>
        <v>6UPROLACSA</v>
      </c>
      <c r="D368" s="52"/>
      <c r="E368" s="53">
        <f>+'CALCULO TARIFAS CC '!$U$45</f>
        <v>0.82386810577067515</v>
      </c>
      <c r="F368" s="54">
        <f t="shared" si="35"/>
        <v>186.96369999999999</v>
      </c>
      <c r="G368" s="55">
        <f t="shared" si="36"/>
        <v>154.03</v>
      </c>
      <c r="H368" s="49" t="s">
        <v>276</v>
      </c>
      <c r="I368" s="38" t="s">
        <v>777</v>
      </c>
      <c r="J368" s="38">
        <v>186.9637128</v>
      </c>
      <c r="K368" s="38"/>
      <c r="L368" s="381"/>
      <c r="M368" s="268"/>
      <c r="N368" s="269"/>
      <c r="O368" s="269"/>
      <c r="P368" s="283"/>
      <c r="Q368" s="269"/>
      <c r="R368" s="269"/>
      <c r="S368" s="38"/>
      <c r="T368" s="38"/>
      <c r="U368" s="38"/>
      <c r="V368" s="38"/>
      <c r="W368" s="38"/>
      <c r="X368" s="38"/>
      <c r="Y368" s="38"/>
      <c r="Z368" s="38"/>
    </row>
    <row r="369" spans="1:26" s="313" customFormat="1" x14ac:dyDescent="0.25">
      <c r="A369" s="280">
        <f t="shared" si="32"/>
        <v>367</v>
      </c>
      <c r="B369" s="277"/>
      <c r="C369" s="52" t="str">
        <f t="shared" si="31"/>
        <v>6UPROLUXSA</v>
      </c>
      <c r="D369" s="52"/>
      <c r="E369" s="53">
        <f>+'CALCULO TARIFAS CC '!$U$45</f>
        <v>0.82386810577067515</v>
      </c>
      <c r="F369" s="54">
        <f t="shared" si="35"/>
        <v>91.626499999999993</v>
      </c>
      <c r="G369" s="55">
        <f t="shared" si="36"/>
        <v>75.489999999999995</v>
      </c>
      <c r="H369" s="49" t="s">
        <v>276</v>
      </c>
      <c r="I369" s="38" t="s">
        <v>654</v>
      </c>
      <c r="J369" s="38">
        <v>91.626514099999994</v>
      </c>
      <c r="K369" s="38"/>
      <c r="L369" s="381"/>
      <c r="M369" s="268"/>
      <c r="N369" s="269"/>
      <c r="O369" s="269"/>
      <c r="P369" s="283"/>
      <c r="Q369" s="269"/>
      <c r="R369" s="269"/>
      <c r="S369" s="38"/>
      <c r="T369" s="38"/>
      <c r="U369" s="38"/>
      <c r="V369" s="38"/>
      <c r="W369" s="38"/>
      <c r="X369" s="38"/>
      <c r="Y369" s="38"/>
      <c r="Z369" s="38"/>
    </row>
    <row r="370" spans="1:26" s="313" customFormat="1" x14ac:dyDescent="0.25">
      <c r="A370" s="280">
        <f t="shared" si="32"/>
        <v>368</v>
      </c>
      <c r="B370" s="277"/>
      <c r="C370" s="52" t="str">
        <f t="shared" si="31"/>
        <v>6UPROMDOR</v>
      </c>
      <c r="D370" s="52"/>
      <c r="E370" s="53">
        <f>+'CALCULO TARIFAS CC '!$U$45</f>
        <v>0.82386810577067515</v>
      </c>
      <c r="F370" s="54">
        <f t="shared" si="35"/>
        <v>55.4129</v>
      </c>
      <c r="G370" s="55">
        <f t="shared" si="36"/>
        <v>45.65</v>
      </c>
      <c r="H370" s="49" t="s">
        <v>276</v>
      </c>
      <c r="I370" s="38" t="s">
        <v>694</v>
      </c>
      <c r="J370" s="38">
        <v>55.412870900000001</v>
      </c>
      <c r="K370" s="38"/>
      <c r="L370" s="381"/>
      <c r="M370" s="268"/>
      <c r="N370" s="269"/>
      <c r="O370" s="269"/>
      <c r="P370" s="283"/>
      <c r="Q370" s="269"/>
      <c r="R370" s="269"/>
      <c r="S370" s="38"/>
      <c r="T370" s="38"/>
      <c r="U370" s="38"/>
      <c r="V370" s="38"/>
      <c r="W370" s="38"/>
      <c r="X370" s="38"/>
      <c r="Y370" s="38"/>
      <c r="Z370" s="38"/>
    </row>
    <row r="371" spans="1:26" s="313" customFormat="1" x14ac:dyDescent="0.25">
      <c r="A371" s="280">
        <f t="shared" si="32"/>
        <v>369</v>
      </c>
      <c r="B371" s="277"/>
      <c r="C371" s="52" t="str">
        <f t="shared" si="31"/>
        <v>6UPROMGTOWER</v>
      </c>
      <c r="D371" s="52"/>
      <c r="E371" s="53">
        <f>+'CALCULO TARIFAS CC '!$U$45</f>
        <v>0.82386810577067515</v>
      </c>
      <c r="F371" s="54">
        <f t="shared" si="35"/>
        <v>218.1472</v>
      </c>
      <c r="G371" s="55">
        <f t="shared" si="36"/>
        <v>179.72</v>
      </c>
      <c r="H371" s="49" t="s">
        <v>276</v>
      </c>
      <c r="I371" s="38" t="s">
        <v>607</v>
      </c>
      <c r="J371" s="38">
        <v>218.14718959999999</v>
      </c>
      <c r="K371" s="38"/>
      <c r="L371" s="381"/>
      <c r="M371" s="268"/>
      <c r="N371" s="269"/>
      <c r="O371" s="269"/>
      <c r="P371" s="283"/>
      <c r="Q371" s="269"/>
      <c r="R371" s="269"/>
      <c r="S371" s="38"/>
      <c r="T371" s="38"/>
      <c r="U371" s="38"/>
      <c r="V371" s="38"/>
      <c r="W371" s="38"/>
      <c r="X371" s="38"/>
      <c r="Y371" s="38"/>
      <c r="Z371" s="38"/>
    </row>
    <row r="372" spans="1:26" s="313" customFormat="1" x14ac:dyDescent="0.25">
      <c r="A372" s="280">
        <f t="shared" si="32"/>
        <v>370</v>
      </c>
      <c r="B372" s="277"/>
      <c r="C372" s="52" t="str">
        <f t="shared" si="31"/>
        <v>6UPROSERV97</v>
      </c>
      <c r="D372" s="52"/>
      <c r="E372" s="53">
        <f>+'CALCULO TARIFAS CC '!$U$45</f>
        <v>0.82386810577067515</v>
      </c>
      <c r="F372" s="54">
        <f t="shared" si="35"/>
        <v>112.4298</v>
      </c>
      <c r="G372" s="55">
        <f t="shared" si="36"/>
        <v>92.63</v>
      </c>
      <c r="H372" s="49" t="s">
        <v>276</v>
      </c>
      <c r="I372" s="38" t="s">
        <v>589</v>
      </c>
      <c r="J372" s="38">
        <v>112.42978669999999</v>
      </c>
      <c r="K372" s="38"/>
      <c r="L372" s="381"/>
      <c r="M372" s="268"/>
      <c r="N372" s="269"/>
      <c r="O372" s="269"/>
      <c r="P372" s="283"/>
      <c r="Q372" s="269"/>
      <c r="R372" s="269"/>
      <c r="S372" s="38"/>
      <c r="T372" s="38"/>
      <c r="U372" s="38"/>
      <c r="V372" s="38"/>
      <c r="W372" s="38"/>
      <c r="X372" s="38"/>
      <c r="Y372" s="38"/>
      <c r="Z372" s="38"/>
    </row>
    <row r="373" spans="1:26" s="335" customFormat="1" x14ac:dyDescent="0.25">
      <c r="A373" s="280">
        <f t="shared" si="32"/>
        <v>371</v>
      </c>
      <c r="B373" s="277"/>
      <c r="C373" s="52" t="str">
        <f t="shared" si="31"/>
        <v>6UPTPCAZUL</v>
      </c>
      <c r="D373" s="52"/>
      <c r="E373" s="53">
        <f>+'CALCULO TARIFAS CC '!$U$45</f>
        <v>0.82386810577067515</v>
      </c>
      <c r="F373" s="54">
        <f t="shared" ref="F373:F404" si="37">ROUND(J373,4)</f>
        <v>143.8955</v>
      </c>
      <c r="G373" s="55">
        <f t="shared" ref="G373:G404" si="38">+ROUND(F373*E373,2)</f>
        <v>118.55</v>
      </c>
      <c r="H373" s="49" t="s">
        <v>276</v>
      </c>
      <c r="I373" s="38" t="s">
        <v>859</v>
      </c>
      <c r="J373" s="38">
        <v>143.89548629999999</v>
      </c>
      <c r="K373" s="38"/>
      <c r="L373" s="381"/>
      <c r="M373" s="268"/>
      <c r="N373" s="269"/>
      <c r="O373" s="269"/>
      <c r="P373" s="283"/>
      <c r="Q373" s="269"/>
      <c r="R373" s="269"/>
      <c r="S373" s="38"/>
      <c r="T373" s="38"/>
      <c r="U373" s="38"/>
      <c r="V373" s="38"/>
      <c r="W373" s="38"/>
      <c r="X373" s="38"/>
      <c r="Y373" s="38"/>
      <c r="Z373" s="38"/>
    </row>
    <row r="374" spans="1:26" s="335" customFormat="1" x14ac:dyDescent="0.25">
      <c r="A374" s="280">
        <f t="shared" si="32"/>
        <v>372</v>
      </c>
      <c r="B374" s="277"/>
      <c r="C374" s="52" t="str">
        <f t="shared" si="31"/>
        <v>6UPTPCGL</v>
      </c>
      <c r="D374" s="52"/>
      <c r="E374" s="53">
        <f>+'CALCULO TARIFAS CC '!$U$45</f>
        <v>0.82386810577067515</v>
      </c>
      <c r="F374" s="54">
        <f t="shared" si="37"/>
        <v>775.84169999999995</v>
      </c>
      <c r="G374" s="55">
        <f t="shared" si="38"/>
        <v>639.19000000000005</v>
      </c>
      <c r="H374" s="49" t="s">
        <v>276</v>
      </c>
      <c r="I374" s="38" t="s">
        <v>60</v>
      </c>
      <c r="J374" s="38">
        <v>775.84173129999999</v>
      </c>
      <c r="K374" s="38"/>
      <c r="L374" s="381"/>
      <c r="M374" s="268"/>
      <c r="N374" s="269"/>
      <c r="O374" s="269"/>
      <c r="P374" s="283"/>
      <c r="Q374" s="269"/>
      <c r="R374" s="269"/>
      <c r="S374" s="38"/>
      <c r="T374" s="38"/>
      <c r="U374" s="38"/>
      <c r="V374" s="38"/>
      <c r="W374" s="38"/>
      <c r="X374" s="38"/>
      <c r="Y374" s="38"/>
      <c r="Z374" s="38"/>
    </row>
    <row r="375" spans="1:26" s="335" customFormat="1" x14ac:dyDescent="0.25">
      <c r="A375" s="280">
        <f t="shared" si="32"/>
        <v>373</v>
      </c>
      <c r="B375" s="277"/>
      <c r="C375" s="52" t="str">
        <f t="shared" si="31"/>
        <v>6UPTPPSA</v>
      </c>
      <c r="D375" s="52"/>
      <c r="E375" s="53">
        <f>+'CALCULO TARIFAS CC '!$U$45</f>
        <v>0.82386810577067515</v>
      </c>
      <c r="F375" s="54">
        <f t="shared" si="37"/>
        <v>1641.857</v>
      </c>
      <c r="G375" s="55">
        <f t="shared" si="38"/>
        <v>1352.67</v>
      </c>
      <c r="H375" s="49" t="s">
        <v>276</v>
      </c>
      <c r="I375" s="38" t="s">
        <v>61</v>
      </c>
      <c r="J375" s="38">
        <v>1641.8570273</v>
      </c>
      <c r="K375" s="38"/>
      <c r="L375" s="381"/>
      <c r="M375" s="268"/>
      <c r="N375" s="269"/>
      <c r="O375" s="269"/>
      <c r="P375" s="283"/>
      <c r="Q375" s="269"/>
      <c r="R375" s="269"/>
      <c r="S375" s="38"/>
      <c r="T375" s="38"/>
      <c r="U375" s="38"/>
      <c r="V375" s="38"/>
      <c r="W375" s="38"/>
      <c r="X375" s="38"/>
      <c r="Y375" s="38"/>
      <c r="Z375" s="38"/>
    </row>
    <row r="376" spans="1:26" s="335" customFormat="1" x14ac:dyDescent="0.25">
      <c r="A376" s="280">
        <f t="shared" si="32"/>
        <v>374</v>
      </c>
      <c r="B376" s="277"/>
      <c r="C376" s="52" t="str">
        <f t="shared" si="31"/>
        <v>6UPTPPSB</v>
      </c>
      <c r="D376" s="52"/>
      <c r="E376" s="53">
        <f>+'CALCULO TARIFAS CC '!$U$45</f>
        <v>0.82386810577067515</v>
      </c>
      <c r="F376" s="54">
        <f t="shared" si="37"/>
        <v>1425.6541</v>
      </c>
      <c r="G376" s="55">
        <f t="shared" si="38"/>
        <v>1174.55</v>
      </c>
      <c r="H376" s="49" t="s">
        <v>276</v>
      </c>
      <c r="I376" s="38" t="s">
        <v>62</v>
      </c>
      <c r="J376" s="38">
        <v>1425.6540802</v>
      </c>
      <c r="K376" s="38"/>
      <c r="L376" s="381"/>
      <c r="M376" s="268"/>
      <c r="N376" s="269"/>
      <c r="O376" s="269"/>
      <c r="P376" s="283"/>
      <c r="Q376" s="269"/>
      <c r="R376" s="269"/>
      <c r="S376" s="38"/>
      <c r="T376" s="38"/>
      <c r="U376" s="38"/>
      <c r="V376" s="38"/>
      <c r="W376" s="38"/>
      <c r="X376" s="38"/>
      <c r="Y376" s="38"/>
      <c r="Z376" s="38"/>
    </row>
    <row r="377" spans="1:26" s="335" customFormat="1" x14ac:dyDescent="0.25">
      <c r="A377" s="280">
        <f t="shared" si="32"/>
        <v>375</v>
      </c>
      <c r="B377" s="277"/>
      <c r="C377" s="52" t="str">
        <f t="shared" si="31"/>
        <v>6UPURISSIMA</v>
      </c>
      <c r="D377" s="52"/>
      <c r="E377" s="53">
        <f>+'CALCULO TARIFAS CC '!$U$45</f>
        <v>0.82386810577067515</v>
      </c>
      <c r="F377" s="54">
        <f t="shared" si="37"/>
        <v>26.404499999999999</v>
      </c>
      <c r="G377" s="55">
        <f t="shared" si="38"/>
        <v>21.75</v>
      </c>
      <c r="H377" s="49" t="s">
        <v>276</v>
      </c>
      <c r="I377" s="38" t="s">
        <v>655</v>
      </c>
      <c r="J377" s="38">
        <v>26.404454300000001</v>
      </c>
      <c r="K377" s="38"/>
      <c r="L377" s="381"/>
      <c r="M377" s="268"/>
      <c r="N377" s="269"/>
      <c r="O377" s="269"/>
      <c r="P377" s="283"/>
      <c r="Q377" s="269"/>
      <c r="R377" s="269"/>
      <c r="S377" s="38"/>
      <c r="T377" s="38"/>
      <c r="U377" s="38"/>
      <c r="V377" s="38"/>
      <c r="W377" s="38"/>
      <c r="X377" s="38"/>
      <c r="Y377" s="38"/>
      <c r="Z377" s="38"/>
    </row>
    <row r="378" spans="1:26" s="335" customFormat="1" x14ac:dyDescent="0.25">
      <c r="A378" s="280">
        <f t="shared" si="32"/>
        <v>376</v>
      </c>
      <c r="B378" s="277"/>
      <c r="C378" s="52" t="str">
        <f t="shared" si="31"/>
        <v>6UP_SLIBRADA</v>
      </c>
      <c r="D378" s="52"/>
      <c r="E378" s="53">
        <f>+'CALCULO TARIFAS CC '!$U$45</f>
        <v>0.82386810577067515</v>
      </c>
      <c r="F378" s="54">
        <f t="shared" si="37"/>
        <v>113.1827</v>
      </c>
      <c r="G378" s="55">
        <f t="shared" si="38"/>
        <v>93.25</v>
      </c>
      <c r="H378" s="49" t="s">
        <v>276</v>
      </c>
      <c r="I378" s="38" t="s">
        <v>656</v>
      </c>
      <c r="J378" s="38">
        <v>113.1827021</v>
      </c>
      <c r="K378" s="38"/>
      <c r="L378" s="381"/>
      <c r="M378" s="268"/>
      <c r="N378" s="269"/>
      <c r="O378" s="269"/>
      <c r="P378" s="283"/>
      <c r="Q378" s="269"/>
      <c r="R378" s="269"/>
      <c r="S378" s="38"/>
      <c r="T378" s="38"/>
      <c r="U378" s="38"/>
      <c r="V378" s="38"/>
      <c r="W378" s="38"/>
      <c r="X378" s="38"/>
      <c r="Y378" s="38"/>
      <c r="Z378" s="38"/>
    </row>
    <row r="379" spans="1:26" s="335" customFormat="1" x14ac:dyDescent="0.25">
      <c r="A379" s="280">
        <f t="shared" si="32"/>
        <v>377</v>
      </c>
      <c r="B379" s="277"/>
      <c r="C379" s="52" t="str">
        <f t="shared" si="31"/>
        <v>6URAMADA</v>
      </c>
      <c r="D379" s="52"/>
      <c r="E379" s="53">
        <f>+'CALCULO TARIFAS CC '!$U$45</f>
        <v>0.82386810577067515</v>
      </c>
      <c r="F379" s="54">
        <f t="shared" si="37"/>
        <v>26.7136</v>
      </c>
      <c r="G379" s="55">
        <f t="shared" si="38"/>
        <v>22.01</v>
      </c>
      <c r="H379" s="49" t="s">
        <v>276</v>
      </c>
      <c r="I379" s="38" t="s">
        <v>494</v>
      </c>
      <c r="J379" s="38">
        <v>26.713597499999999</v>
      </c>
      <c r="K379" s="38"/>
      <c r="L379" s="381"/>
      <c r="M379" s="268"/>
      <c r="N379" s="269"/>
      <c r="O379" s="269"/>
      <c r="P379" s="283"/>
      <c r="Q379" s="269"/>
      <c r="R379" s="269"/>
      <c r="S379" s="38"/>
      <c r="T379" s="38"/>
      <c r="U379" s="38"/>
      <c r="V379" s="38"/>
      <c r="W379" s="38"/>
      <c r="X379" s="38"/>
      <c r="Y379" s="38"/>
      <c r="Z379" s="38"/>
    </row>
    <row r="380" spans="1:26" s="335" customFormat="1" x14ac:dyDescent="0.25">
      <c r="A380" s="280">
        <f t="shared" si="32"/>
        <v>378</v>
      </c>
      <c r="B380" s="277"/>
      <c r="C380" s="52" t="str">
        <f t="shared" si="31"/>
        <v>6GRCHICO</v>
      </c>
      <c r="D380" s="52"/>
      <c r="E380" s="53">
        <f>+'CALCULO TARIFAS CC '!$U$45</f>
        <v>0.82386810577067515</v>
      </c>
      <c r="F380" s="54">
        <f t="shared" si="37"/>
        <v>19.575199999999999</v>
      </c>
      <c r="G380" s="55">
        <f t="shared" si="38"/>
        <v>16.13</v>
      </c>
      <c r="H380" s="49" t="s">
        <v>276</v>
      </c>
      <c r="I380" s="38" t="s">
        <v>439</v>
      </c>
      <c r="J380" s="38">
        <v>19.575151000000002</v>
      </c>
      <c r="K380" s="38"/>
      <c r="L380" s="381"/>
      <c r="M380" s="268"/>
      <c r="N380" s="269"/>
      <c r="O380" s="269"/>
      <c r="P380" s="283"/>
      <c r="Q380" s="269"/>
      <c r="R380" s="269"/>
      <c r="S380" s="38"/>
      <c r="T380" s="38"/>
      <c r="U380" s="38"/>
      <c r="V380" s="38"/>
      <c r="W380" s="38"/>
      <c r="X380" s="38"/>
      <c r="Y380" s="38"/>
      <c r="Z380" s="38"/>
    </row>
    <row r="381" spans="1:26" s="335" customFormat="1" x14ac:dyDescent="0.25">
      <c r="A381" s="280">
        <f t="shared" si="32"/>
        <v>379</v>
      </c>
      <c r="B381" s="277"/>
      <c r="C381" s="52" t="str">
        <f t="shared" si="31"/>
        <v>6UREDEPROSA</v>
      </c>
      <c r="D381" s="52"/>
      <c r="E381" s="53">
        <f>+'CALCULO TARIFAS CC '!$U$45</f>
        <v>0.82386810577067515</v>
      </c>
      <c r="F381" s="54">
        <f t="shared" si="37"/>
        <v>194.40629999999999</v>
      </c>
      <c r="G381" s="55">
        <f t="shared" si="38"/>
        <v>160.16999999999999</v>
      </c>
      <c r="H381" s="49" t="s">
        <v>276</v>
      </c>
      <c r="I381" s="38" t="s">
        <v>721</v>
      </c>
      <c r="J381" s="38">
        <v>194.4062639</v>
      </c>
      <c r="K381" s="38"/>
      <c r="L381" s="381"/>
      <c r="M381" s="268"/>
      <c r="N381" s="269"/>
      <c r="O381" s="269"/>
      <c r="P381" s="283"/>
      <c r="Q381" s="269"/>
      <c r="R381" s="269"/>
      <c r="S381" s="38"/>
      <c r="T381" s="38"/>
      <c r="U381" s="38"/>
      <c r="V381" s="38"/>
      <c r="W381" s="38"/>
      <c r="X381" s="38"/>
      <c r="Y381" s="38"/>
      <c r="Z381" s="38"/>
    </row>
    <row r="382" spans="1:26" s="335" customFormat="1" x14ac:dyDescent="0.25">
      <c r="A382" s="280">
        <f t="shared" si="32"/>
        <v>380</v>
      </c>
      <c r="B382" s="277"/>
      <c r="C382" s="52" t="str">
        <f t="shared" si="31"/>
        <v>6URETCEN</v>
      </c>
      <c r="D382" s="52"/>
      <c r="E382" s="53">
        <f>+'CALCULO TARIFAS CC '!$U$45</f>
        <v>0.82386810577067515</v>
      </c>
      <c r="F382" s="54">
        <f t="shared" si="37"/>
        <v>247.47450000000001</v>
      </c>
      <c r="G382" s="55">
        <f t="shared" si="38"/>
        <v>203.89</v>
      </c>
      <c r="H382" s="49" t="s">
        <v>276</v>
      </c>
      <c r="I382" s="38" t="s">
        <v>590</v>
      </c>
      <c r="J382" s="38">
        <v>247.47452770000001</v>
      </c>
      <c r="K382" s="38"/>
      <c r="L382" s="381"/>
      <c r="M382" s="268"/>
      <c r="N382" s="269"/>
      <c r="O382" s="269"/>
      <c r="P382" s="283"/>
      <c r="Q382" s="269"/>
      <c r="R382" s="269"/>
      <c r="S382" s="38"/>
      <c r="T382" s="38"/>
      <c r="U382" s="38"/>
      <c r="V382" s="38"/>
      <c r="W382" s="38"/>
      <c r="X382" s="38"/>
      <c r="Y382" s="38"/>
      <c r="Z382" s="38"/>
    </row>
    <row r="383" spans="1:26" s="335" customFormat="1" x14ac:dyDescent="0.25">
      <c r="A383" s="280">
        <f t="shared" si="32"/>
        <v>381</v>
      </c>
      <c r="B383" s="277"/>
      <c r="C383" s="52" t="str">
        <f t="shared" si="31"/>
        <v>6UREY12OCT</v>
      </c>
      <c r="D383" s="52"/>
      <c r="E383" s="53">
        <f>+'CALCULO TARIFAS CC '!$U$45</f>
        <v>0.82386810577067515</v>
      </c>
      <c r="F383" s="54">
        <f t="shared" si="37"/>
        <v>143.59700000000001</v>
      </c>
      <c r="G383" s="55">
        <f t="shared" si="38"/>
        <v>118.3</v>
      </c>
      <c r="H383" s="49" t="s">
        <v>276</v>
      </c>
      <c r="I383" s="38" t="s">
        <v>657</v>
      </c>
      <c r="J383" s="38">
        <v>143.5969886</v>
      </c>
      <c r="K383" s="38"/>
      <c r="L383" s="381"/>
      <c r="M383" s="268"/>
      <c r="N383" s="269"/>
      <c r="O383" s="269"/>
      <c r="P383" s="283"/>
      <c r="Q383" s="269"/>
      <c r="R383" s="269"/>
      <c r="S383" s="38"/>
      <c r="T383" s="38"/>
      <c r="U383" s="38"/>
      <c r="V383" s="38"/>
      <c r="W383" s="38"/>
      <c r="X383" s="38"/>
      <c r="Y383" s="38"/>
      <c r="Z383" s="38"/>
    </row>
    <row r="384" spans="1:26" s="335" customFormat="1" x14ac:dyDescent="0.25">
      <c r="A384" s="280">
        <f t="shared" si="32"/>
        <v>382</v>
      </c>
      <c r="B384" s="277"/>
      <c r="C384" s="52" t="str">
        <f t="shared" si="31"/>
        <v>6UREY24DIC</v>
      </c>
      <c r="D384" s="52"/>
      <c r="E384" s="53">
        <f>+'CALCULO TARIFAS CC '!$U$45</f>
        <v>0.82386810577067515</v>
      </c>
      <c r="F384" s="54">
        <f t="shared" si="37"/>
        <v>187.9408</v>
      </c>
      <c r="G384" s="55">
        <f t="shared" si="38"/>
        <v>154.84</v>
      </c>
      <c r="H384" s="49" t="s">
        <v>276</v>
      </c>
      <c r="I384" s="38" t="s">
        <v>621</v>
      </c>
      <c r="J384" s="38">
        <v>187.94080629999999</v>
      </c>
      <c r="K384" s="38"/>
      <c r="L384" s="381"/>
      <c r="M384" s="268"/>
      <c r="N384" s="269"/>
      <c r="O384" s="269"/>
      <c r="P384" s="283"/>
      <c r="Q384" s="269"/>
      <c r="R384" s="269"/>
      <c r="S384" s="38"/>
      <c r="T384" s="38"/>
      <c r="U384" s="38"/>
      <c r="V384" s="38"/>
      <c r="W384" s="38"/>
      <c r="X384" s="38"/>
      <c r="Y384" s="38"/>
      <c r="Z384" s="38"/>
    </row>
    <row r="385" spans="1:26" s="335" customFormat="1" x14ac:dyDescent="0.25">
      <c r="A385" s="280">
        <f t="shared" si="32"/>
        <v>383</v>
      </c>
      <c r="B385" s="277"/>
      <c r="C385" s="52" t="str">
        <f t="shared" si="31"/>
        <v>6UREY4ALTOS</v>
      </c>
      <c r="D385" s="52"/>
      <c r="E385" s="53">
        <f>+'CALCULO TARIFAS CC '!$U$45</f>
        <v>0.82386810577067515</v>
      </c>
      <c r="F385" s="54">
        <f t="shared" si="37"/>
        <v>131.24080000000001</v>
      </c>
      <c r="G385" s="55">
        <f t="shared" si="38"/>
        <v>108.13</v>
      </c>
      <c r="H385" s="49" t="s">
        <v>276</v>
      </c>
      <c r="I385" s="38" t="s">
        <v>658</v>
      </c>
      <c r="J385" s="38">
        <v>131.2408106</v>
      </c>
      <c r="K385" s="38"/>
      <c r="L385" s="381"/>
      <c r="M385" s="268"/>
      <c r="N385" s="269"/>
      <c r="O385" s="269"/>
      <c r="P385" s="283"/>
      <c r="Q385" s="269"/>
      <c r="R385" s="269"/>
      <c r="S385" s="38"/>
      <c r="T385" s="38"/>
      <c r="U385" s="38"/>
      <c r="V385" s="38"/>
      <c r="W385" s="38"/>
      <c r="X385" s="38"/>
      <c r="Y385" s="38"/>
      <c r="Z385" s="38"/>
    </row>
    <row r="386" spans="1:26" s="335" customFormat="1" x14ac:dyDescent="0.25">
      <c r="A386" s="280">
        <f t="shared" si="32"/>
        <v>384</v>
      </c>
      <c r="B386" s="277"/>
      <c r="C386" s="52" t="str">
        <f t="shared" si="31"/>
        <v>6UREYBGOLF</v>
      </c>
      <c r="D386" s="52"/>
      <c r="E386" s="53">
        <f>+'CALCULO TARIFAS CC '!$U$45</f>
        <v>0.82386810577067515</v>
      </c>
      <c r="F386" s="54">
        <f t="shared" si="37"/>
        <v>148.06870000000001</v>
      </c>
      <c r="G386" s="55">
        <f t="shared" si="38"/>
        <v>121.99</v>
      </c>
      <c r="H386" s="49" t="s">
        <v>276</v>
      </c>
      <c r="I386" s="38" t="s">
        <v>622</v>
      </c>
      <c r="J386" s="38">
        <v>148.0687245</v>
      </c>
      <c r="K386" s="38"/>
      <c r="L386" s="381"/>
      <c r="M386" s="268"/>
      <c r="N386" s="269"/>
      <c r="O386" s="269"/>
      <c r="P386" s="283"/>
      <c r="Q386" s="269"/>
      <c r="R386" s="269"/>
      <c r="S386" s="38"/>
      <c r="T386" s="38"/>
      <c r="U386" s="38"/>
      <c r="V386" s="38"/>
      <c r="W386" s="38"/>
      <c r="X386" s="38"/>
      <c r="Y386" s="38"/>
      <c r="Z386" s="38"/>
    </row>
    <row r="387" spans="1:26" s="335" customFormat="1" x14ac:dyDescent="0.25">
      <c r="A387" s="280">
        <f t="shared" si="32"/>
        <v>385</v>
      </c>
      <c r="B387" s="277"/>
      <c r="C387" s="52" t="str">
        <f t="shared" ref="C387:C450" si="39">I387</f>
        <v>6UREYCALLE13</v>
      </c>
      <c r="D387" s="52"/>
      <c r="E387" s="53">
        <f>+'CALCULO TARIFAS CC '!$U$45</f>
        <v>0.82386810577067515</v>
      </c>
      <c r="F387" s="54">
        <f t="shared" si="37"/>
        <v>117.6216</v>
      </c>
      <c r="G387" s="55">
        <f t="shared" si="38"/>
        <v>96.9</v>
      </c>
      <c r="H387" s="49" t="s">
        <v>276</v>
      </c>
      <c r="I387" s="38" t="s">
        <v>754</v>
      </c>
      <c r="J387" s="38">
        <v>117.62158410000001</v>
      </c>
      <c r="K387" s="38"/>
      <c r="L387" s="381"/>
      <c r="M387" s="268"/>
      <c r="N387" s="269"/>
      <c r="O387" s="269"/>
      <c r="P387" s="283"/>
      <c r="Q387" s="269"/>
      <c r="R387" s="269"/>
      <c r="S387" s="38"/>
      <c r="T387" s="38"/>
      <c r="U387" s="38"/>
      <c r="V387" s="38"/>
      <c r="W387" s="38"/>
      <c r="X387" s="38"/>
      <c r="Y387" s="38"/>
      <c r="Z387" s="38"/>
    </row>
    <row r="388" spans="1:26" s="335" customFormat="1" x14ac:dyDescent="0.25">
      <c r="A388" s="280">
        <f t="shared" si="32"/>
        <v>386</v>
      </c>
      <c r="B388" s="277"/>
      <c r="C388" s="52" t="str">
        <f t="shared" si="39"/>
        <v>6UREYCALLE50</v>
      </c>
      <c r="D388" s="52"/>
      <c r="E388" s="53">
        <f>+'CALCULO TARIFAS CC '!$U$45</f>
        <v>0.82386810577067515</v>
      </c>
      <c r="F388" s="54">
        <f t="shared" si="37"/>
        <v>247.88470000000001</v>
      </c>
      <c r="G388" s="55">
        <f t="shared" si="38"/>
        <v>204.22</v>
      </c>
      <c r="H388" s="49" t="s">
        <v>276</v>
      </c>
      <c r="I388" s="38" t="s">
        <v>722</v>
      </c>
      <c r="J388" s="38">
        <v>247.88473239999999</v>
      </c>
      <c r="K388" s="38"/>
      <c r="L388" s="381"/>
      <c r="M388" s="268"/>
      <c r="N388" s="269"/>
      <c r="O388" s="269"/>
      <c r="P388" s="283"/>
      <c r="Q388" s="269"/>
      <c r="R388" s="269"/>
      <c r="S388" s="38"/>
      <c r="T388" s="38"/>
      <c r="U388" s="38"/>
      <c r="V388" s="38"/>
      <c r="W388" s="38"/>
      <c r="X388" s="38"/>
      <c r="Y388" s="38"/>
      <c r="Z388" s="38"/>
    </row>
    <row r="389" spans="1:26" s="335" customFormat="1" x14ac:dyDescent="0.25">
      <c r="A389" s="280">
        <f t="shared" si="32"/>
        <v>387</v>
      </c>
      <c r="B389" s="277"/>
      <c r="C389" s="52" t="str">
        <f t="shared" si="39"/>
        <v>6UREYCALLE7</v>
      </c>
      <c r="D389" s="52"/>
      <c r="E389" s="53">
        <f>+'CALCULO TARIFAS CC '!$U$45</f>
        <v>0.82386810577067515</v>
      </c>
      <c r="F389" s="54">
        <f t="shared" si="37"/>
        <v>75.848399999999998</v>
      </c>
      <c r="G389" s="55">
        <f t="shared" si="38"/>
        <v>62.49</v>
      </c>
      <c r="H389" s="49" t="s">
        <v>276</v>
      </c>
      <c r="I389" s="38" t="s">
        <v>659</v>
      </c>
      <c r="J389" s="38">
        <v>75.848439099999993</v>
      </c>
      <c r="K389" s="38"/>
      <c r="L389" s="381"/>
      <c r="M389" s="268"/>
      <c r="N389" s="269"/>
      <c r="O389" s="269"/>
      <c r="P389" s="283"/>
      <c r="Q389" s="269"/>
      <c r="R389" s="269"/>
      <c r="S389" s="38"/>
      <c r="T389" s="38"/>
      <c r="U389" s="38"/>
      <c r="V389" s="38"/>
      <c r="W389" s="38"/>
      <c r="X389" s="38"/>
      <c r="Y389" s="38"/>
      <c r="Z389" s="38"/>
    </row>
    <row r="390" spans="1:26" s="335" customFormat="1" x14ac:dyDescent="0.25">
      <c r="A390" s="280">
        <f t="shared" si="32"/>
        <v>388</v>
      </c>
      <c r="B390" s="277"/>
      <c r="C390" s="52" t="str">
        <f t="shared" si="39"/>
        <v>6UREYCEDIM8</v>
      </c>
      <c r="D390" s="52"/>
      <c r="E390" s="53">
        <f>+'CALCULO TARIFAS CC '!$U$45</f>
        <v>0.82386810577067515</v>
      </c>
      <c r="F390" s="54">
        <f t="shared" si="37"/>
        <v>123.1285</v>
      </c>
      <c r="G390" s="55">
        <f t="shared" si="38"/>
        <v>101.44</v>
      </c>
      <c r="H390" s="49" t="s">
        <v>276</v>
      </c>
      <c r="I390" s="38" t="s">
        <v>660</v>
      </c>
      <c r="J390" s="38">
        <v>123.1284977</v>
      </c>
      <c r="K390" s="38"/>
      <c r="L390" s="381"/>
      <c r="M390" s="268"/>
      <c r="N390" s="269"/>
      <c r="O390" s="269"/>
      <c r="P390" s="283"/>
      <c r="Q390" s="269"/>
      <c r="R390" s="269"/>
      <c r="S390" s="38"/>
      <c r="T390" s="38"/>
      <c r="U390" s="38"/>
      <c r="V390" s="38"/>
      <c r="W390" s="38"/>
      <c r="X390" s="38"/>
      <c r="Y390" s="38"/>
      <c r="Z390" s="38"/>
    </row>
    <row r="391" spans="1:26" s="335" customFormat="1" x14ac:dyDescent="0.25">
      <c r="A391" s="280">
        <f t="shared" si="32"/>
        <v>389</v>
      </c>
      <c r="B391" s="277"/>
      <c r="C391" s="52" t="str">
        <f t="shared" si="39"/>
        <v>6UREYCENTEN</v>
      </c>
      <c r="D391" s="52"/>
      <c r="E391" s="53">
        <f>+'CALCULO TARIFAS CC '!$U$45</f>
        <v>0.82386810577067515</v>
      </c>
      <c r="F391" s="54">
        <f t="shared" si="37"/>
        <v>216.69059999999999</v>
      </c>
      <c r="G391" s="55">
        <f t="shared" si="38"/>
        <v>178.52</v>
      </c>
      <c r="H391" s="49" t="s">
        <v>276</v>
      </c>
      <c r="I391" s="38" t="s">
        <v>623</v>
      </c>
      <c r="J391" s="38">
        <v>216.6906032</v>
      </c>
      <c r="K391" s="38"/>
      <c r="L391" s="381"/>
      <c r="M391" s="268"/>
      <c r="N391" s="269"/>
      <c r="O391" s="269"/>
      <c r="P391" s="283"/>
      <c r="Q391" s="269"/>
      <c r="R391" s="269"/>
      <c r="S391" s="38"/>
      <c r="T391" s="38"/>
      <c r="U391" s="38"/>
      <c r="V391" s="38"/>
      <c r="W391" s="38"/>
      <c r="X391" s="38"/>
      <c r="Y391" s="38"/>
      <c r="Z391" s="38"/>
    </row>
    <row r="392" spans="1:26" s="335" customFormat="1" x14ac:dyDescent="0.25">
      <c r="A392" s="280">
        <f t="shared" si="32"/>
        <v>390</v>
      </c>
      <c r="B392" s="277"/>
      <c r="C392" s="52" t="str">
        <f t="shared" si="39"/>
        <v>6UREYCESTE</v>
      </c>
      <c r="D392" s="52"/>
      <c r="E392" s="53">
        <f>+'CALCULO TARIFAS CC '!$U$45</f>
        <v>0.82386810577067515</v>
      </c>
      <c r="F392" s="54">
        <f t="shared" si="37"/>
        <v>234.5249</v>
      </c>
      <c r="G392" s="55">
        <f t="shared" si="38"/>
        <v>193.22</v>
      </c>
      <c r="H392" s="49" t="s">
        <v>276</v>
      </c>
      <c r="I392" s="38" t="s">
        <v>624</v>
      </c>
      <c r="J392" s="38">
        <v>234.5248607</v>
      </c>
      <c r="K392" s="38"/>
      <c r="L392" s="381"/>
      <c r="M392" s="268"/>
      <c r="N392" s="269"/>
      <c r="O392" s="269"/>
      <c r="P392" s="283"/>
      <c r="Q392" s="269"/>
      <c r="R392" s="269"/>
      <c r="S392" s="38"/>
      <c r="T392" s="38"/>
      <c r="U392" s="38"/>
      <c r="V392" s="38"/>
      <c r="W392" s="38"/>
      <c r="X392" s="38"/>
      <c r="Y392" s="38"/>
      <c r="Z392" s="38"/>
    </row>
    <row r="393" spans="1:26" s="335" customFormat="1" x14ac:dyDescent="0.25">
      <c r="A393" s="280">
        <f t="shared" si="32"/>
        <v>391</v>
      </c>
      <c r="B393" s="277"/>
      <c r="C393" s="52" t="str">
        <f t="shared" si="39"/>
        <v>6UREYCHANIS</v>
      </c>
      <c r="D393" s="52"/>
      <c r="E393" s="53">
        <f>+'CALCULO TARIFAS CC '!$U$45</f>
        <v>0.82386810577067515</v>
      </c>
      <c r="F393" s="54">
        <f t="shared" si="37"/>
        <v>121.0365</v>
      </c>
      <c r="G393" s="55">
        <f t="shared" si="38"/>
        <v>99.72</v>
      </c>
      <c r="H393" s="49" t="s">
        <v>276</v>
      </c>
      <c r="I393" s="38" t="s">
        <v>625</v>
      </c>
      <c r="J393" s="38">
        <v>121.036491</v>
      </c>
      <c r="K393" s="38"/>
      <c r="L393" s="381"/>
      <c r="M393" s="268"/>
      <c r="N393" s="269"/>
      <c r="O393" s="269"/>
      <c r="P393" s="283"/>
      <c r="Q393" s="269"/>
      <c r="R393" s="269"/>
      <c r="S393" s="38"/>
      <c r="T393" s="38"/>
      <c r="U393" s="38"/>
      <c r="V393" s="38"/>
      <c r="W393" s="38"/>
      <c r="X393" s="38"/>
      <c r="Y393" s="38"/>
      <c r="Z393" s="38"/>
    </row>
    <row r="394" spans="1:26" s="335" customFormat="1" x14ac:dyDescent="0.25">
      <c r="A394" s="280">
        <f t="shared" si="32"/>
        <v>392</v>
      </c>
      <c r="B394" s="277"/>
      <c r="C394" s="52" t="str">
        <f t="shared" si="39"/>
        <v>6UREYCHORRE</v>
      </c>
      <c r="D394" s="52"/>
      <c r="E394" s="53">
        <f>+'CALCULO TARIFAS CC '!$U$45</f>
        <v>0.82386810577067515</v>
      </c>
      <c r="F394" s="54">
        <f t="shared" si="37"/>
        <v>157.27019999999999</v>
      </c>
      <c r="G394" s="55">
        <f t="shared" si="38"/>
        <v>129.57</v>
      </c>
      <c r="H394" s="49" t="s">
        <v>276</v>
      </c>
      <c r="I394" s="38" t="s">
        <v>755</v>
      </c>
      <c r="J394" s="38">
        <v>157.27022299999999</v>
      </c>
      <c r="K394" s="38"/>
      <c r="L394" s="381"/>
      <c r="M394" s="268"/>
      <c r="N394" s="269"/>
      <c r="O394" s="269"/>
      <c r="P394" s="283"/>
      <c r="Q394" s="269"/>
      <c r="R394" s="269"/>
      <c r="S394" s="38"/>
      <c r="T394" s="38"/>
      <c r="U394" s="38"/>
      <c r="V394" s="38"/>
      <c r="W394" s="38"/>
      <c r="X394" s="38"/>
      <c r="Y394" s="38"/>
      <c r="Z394" s="38"/>
    </row>
    <row r="395" spans="1:26" s="335" customFormat="1" x14ac:dyDescent="0.25">
      <c r="A395" s="280">
        <f t="shared" si="32"/>
        <v>393</v>
      </c>
      <c r="B395" s="277"/>
      <c r="C395" s="52" t="str">
        <f t="shared" si="39"/>
        <v>6UREYCORONA</v>
      </c>
      <c r="D395" s="52"/>
      <c r="E395" s="53">
        <f>+'CALCULO TARIFAS CC '!$U$45</f>
        <v>0.82386810577067515</v>
      </c>
      <c r="F395" s="54">
        <f t="shared" si="37"/>
        <v>81.662199999999999</v>
      </c>
      <c r="G395" s="55">
        <f t="shared" si="38"/>
        <v>67.28</v>
      </c>
      <c r="H395" s="49" t="s">
        <v>276</v>
      </c>
      <c r="I395" s="38" t="s">
        <v>695</v>
      </c>
      <c r="J395" s="38">
        <v>81.6621849</v>
      </c>
      <c r="K395" s="38"/>
      <c r="L395" s="381"/>
      <c r="M395" s="268"/>
      <c r="N395" s="269"/>
      <c r="O395" s="269"/>
      <c r="P395" s="283"/>
      <c r="Q395" s="269"/>
      <c r="R395" s="269"/>
      <c r="S395" s="38"/>
      <c r="T395" s="38"/>
      <c r="U395" s="38"/>
      <c r="V395" s="38"/>
      <c r="W395" s="38"/>
      <c r="X395" s="38"/>
      <c r="Y395" s="38"/>
      <c r="Z395" s="38"/>
    </row>
    <row r="396" spans="1:26" s="335" customFormat="1" x14ac:dyDescent="0.25">
      <c r="A396" s="280">
        <f t="shared" si="32"/>
        <v>394</v>
      </c>
      <c r="B396" s="277"/>
      <c r="C396" s="52" t="str">
        <f t="shared" si="39"/>
        <v>6UREYCVERDE</v>
      </c>
      <c r="D396" s="52"/>
      <c r="E396" s="53">
        <f>+'CALCULO TARIFAS CC '!$U$45</f>
        <v>0.82386810577067515</v>
      </c>
      <c r="F396" s="54">
        <f t="shared" si="37"/>
        <v>192.42250000000001</v>
      </c>
      <c r="G396" s="55">
        <f t="shared" si="38"/>
        <v>158.53</v>
      </c>
      <c r="H396" s="49" t="s">
        <v>276</v>
      </c>
      <c r="I396" s="38" t="s">
        <v>696</v>
      </c>
      <c r="J396" s="38">
        <v>192.42245170000001</v>
      </c>
      <c r="K396" s="38"/>
      <c r="L396" s="381"/>
      <c r="M396" s="268"/>
      <c r="N396" s="269"/>
      <c r="O396" s="269"/>
      <c r="P396" s="283"/>
      <c r="Q396" s="269"/>
      <c r="R396" s="269"/>
      <c r="S396" s="38"/>
      <c r="T396" s="38"/>
      <c r="U396" s="38"/>
      <c r="V396" s="38"/>
      <c r="W396" s="38"/>
      <c r="X396" s="38"/>
      <c r="Y396" s="38"/>
      <c r="Z396" s="38"/>
    </row>
    <row r="397" spans="1:26" s="335" customFormat="1" x14ac:dyDescent="0.25">
      <c r="A397" s="280">
        <f t="shared" si="32"/>
        <v>395</v>
      </c>
      <c r="B397" s="277"/>
      <c r="C397" s="52" t="str">
        <f t="shared" si="39"/>
        <v>6UREYDAVID</v>
      </c>
      <c r="D397" s="52"/>
      <c r="E397" s="53">
        <f>+'CALCULO TARIFAS CC '!$U$45</f>
        <v>0.82386810577067515</v>
      </c>
      <c r="F397" s="54">
        <f t="shared" si="37"/>
        <v>120.8262</v>
      </c>
      <c r="G397" s="55">
        <f t="shared" si="38"/>
        <v>99.54</v>
      </c>
      <c r="H397" s="49" t="s">
        <v>276</v>
      </c>
      <c r="I397" s="38" t="s">
        <v>723</v>
      </c>
      <c r="J397" s="38">
        <v>120.82620300000001</v>
      </c>
      <c r="K397" s="38"/>
      <c r="L397" s="381"/>
      <c r="M397" s="268"/>
      <c r="N397" s="269"/>
      <c r="O397" s="269"/>
      <c r="P397" s="283"/>
      <c r="Q397" s="269"/>
      <c r="R397" s="269"/>
      <c r="S397" s="38"/>
      <c r="T397" s="38"/>
      <c r="U397" s="38"/>
      <c r="V397" s="38"/>
      <c r="W397" s="38"/>
      <c r="X397" s="38"/>
      <c r="Y397" s="38"/>
      <c r="Z397" s="38"/>
    </row>
    <row r="398" spans="1:26" s="335" customFormat="1" x14ac:dyDescent="0.25">
      <c r="A398" s="280">
        <f t="shared" si="32"/>
        <v>396</v>
      </c>
      <c r="B398" s="277"/>
      <c r="C398" s="52" t="str">
        <f t="shared" si="39"/>
        <v>6UREYDORADO</v>
      </c>
      <c r="D398" s="52"/>
      <c r="E398" s="53">
        <f>+'CALCULO TARIFAS CC '!$U$45</f>
        <v>0.82386810577067515</v>
      </c>
      <c r="F398" s="54">
        <f t="shared" si="37"/>
        <v>21.583400000000001</v>
      </c>
      <c r="G398" s="55">
        <f t="shared" si="38"/>
        <v>17.78</v>
      </c>
      <c r="H398" s="49" t="s">
        <v>276</v>
      </c>
      <c r="I398" s="38" t="s">
        <v>626</v>
      </c>
      <c r="J398" s="38">
        <v>21.583428300000001</v>
      </c>
      <c r="K398" s="38"/>
      <c r="L398" s="381"/>
      <c r="M398" s="268"/>
      <c r="N398" s="269"/>
      <c r="O398" s="269"/>
      <c r="P398" s="283"/>
      <c r="Q398" s="269"/>
      <c r="R398" s="269"/>
      <c r="S398" s="38"/>
      <c r="T398" s="38"/>
      <c r="U398" s="38"/>
      <c r="V398" s="38"/>
      <c r="W398" s="38"/>
      <c r="X398" s="38"/>
      <c r="Y398" s="38"/>
      <c r="Z398" s="38"/>
    </row>
    <row r="399" spans="1:26" s="335" customFormat="1" x14ac:dyDescent="0.25">
      <c r="A399" s="280">
        <f t="shared" si="32"/>
        <v>397</v>
      </c>
      <c r="B399" s="277"/>
      <c r="C399" s="52" t="str">
        <f t="shared" si="39"/>
        <v>6UREYLEFEVRE</v>
      </c>
      <c r="D399" s="52"/>
      <c r="E399" s="53">
        <f>+'CALCULO TARIFAS CC '!$U$45</f>
        <v>0.82386810577067515</v>
      </c>
      <c r="F399" s="54">
        <f t="shared" si="37"/>
        <v>100.66249999999999</v>
      </c>
      <c r="G399" s="55">
        <f t="shared" si="38"/>
        <v>82.93</v>
      </c>
      <c r="H399" s="49" t="s">
        <v>276</v>
      </c>
      <c r="I399" s="38" t="s">
        <v>661</v>
      </c>
      <c r="J399" s="38">
        <v>100.6624549</v>
      </c>
      <c r="K399" s="38"/>
      <c r="L399" s="381"/>
      <c r="M399" s="268"/>
      <c r="N399" s="269"/>
      <c r="O399" s="269"/>
      <c r="P399" s="283"/>
      <c r="Q399" s="269"/>
      <c r="R399" s="269"/>
      <c r="S399" s="38"/>
      <c r="T399" s="38"/>
      <c r="U399" s="38"/>
      <c r="V399" s="38"/>
      <c r="W399" s="38"/>
      <c r="X399" s="38"/>
      <c r="Y399" s="38"/>
      <c r="Z399" s="38"/>
    </row>
    <row r="400" spans="1:26" s="335" customFormat="1" x14ac:dyDescent="0.25">
      <c r="A400" s="280">
        <f t="shared" si="32"/>
        <v>398</v>
      </c>
      <c r="B400" s="277"/>
      <c r="C400" s="52" t="str">
        <f t="shared" si="39"/>
        <v>6UREYMILLA8</v>
      </c>
      <c r="D400" s="52"/>
      <c r="E400" s="53">
        <f>+'CALCULO TARIFAS CC '!$U$45</f>
        <v>0.82386810577067515</v>
      </c>
      <c r="F400" s="54">
        <f t="shared" si="37"/>
        <v>130.68629999999999</v>
      </c>
      <c r="G400" s="55">
        <f t="shared" si="38"/>
        <v>107.67</v>
      </c>
      <c r="H400" s="49" t="s">
        <v>276</v>
      </c>
      <c r="I400" s="38" t="s">
        <v>627</v>
      </c>
      <c r="J400" s="38">
        <v>130.68628860000001</v>
      </c>
      <c r="K400" s="38"/>
      <c r="L400" s="381"/>
      <c r="M400" s="268"/>
      <c r="N400" s="269"/>
      <c r="O400" s="269"/>
      <c r="P400" s="283"/>
      <c r="Q400" s="269"/>
      <c r="R400" s="269"/>
      <c r="S400" s="38"/>
      <c r="T400" s="38"/>
      <c r="U400" s="38"/>
      <c r="V400" s="38"/>
      <c r="W400" s="38"/>
      <c r="X400" s="38"/>
      <c r="Y400" s="38"/>
      <c r="Z400" s="38"/>
    </row>
    <row r="401" spans="1:26" s="335" customFormat="1" x14ac:dyDescent="0.25">
      <c r="A401" s="280">
        <f t="shared" si="32"/>
        <v>399</v>
      </c>
      <c r="B401" s="277"/>
      <c r="C401" s="52" t="str">
        <f t="shared" si="39"/>
        <v>6UREYMPCAB</v>
      </c>
      <c r="D401" s="52"/>
      <c r="E401" s="53">
        <f>+'CALCULO TARIFAS CC '!$U$45</f>
        <v>0.82386810577067515</v>
      </c>
      <c r="F401" s="54">
        <f t="shared" si="37"/>
        <v>58.566699999999997</v>
      </c>
      <c r="G401" s="55">
        <f t="shared" si="38"/>
        <v>48.25</v>
      </c>
      <c r="H401" s="49" t="s">
        <v>276</v>
      </c>
      <c r="I401" s="38" t="s">
        <v>628</v>
      </c>
      <c r="J401" s="38">
        <v>58.566670799999997</v>
      </c>
      <c r="K401" s="38"/>
      <c r="L401" s="381"/>
      <c r="M401" s="268"/>
      <c r="N401" s="269"/>
      <c r="O401" s="269"/>
      <c r="P401" s="283"/>
      <c r="Q401" s="269"/>
      <c r="R401" s="269"/>
      <c r="S401" s="38"/>
      <c r="T401" s="38"/>
      <c r="U401" s="38"/>
      <c r="V401" s="38"/>
      <c r="W401" s="38"/>
      <c r="X401" s="38"/>
      <c r="Y401" s="38"/>
      <c r="Z401" s="38"/>
    </row>
    <row r="402" spans="1:26" s="335" customFormat="1" x14ac:dyDescent="0.25">
      <c r="A402" s="280">
        <f t="shared" si="32"/>
        <v>400</v>
      </c>
      <c r="B402" s="277"/>
      <c r="C402" s="52" t="str">
        <f t="shared" si="39"/>
        <v>6UREYMPVMAR</v>
      </c>
      <c r="D402" s="52"/>
      <c r="E402" s="53">
        <f>+'CALCULO TARIFAS CC '!$U$45</f>
        <v>0.82386810577067515</v>
      </c>
      <c r="F402" s="54">
        <f t="shared" si="37"/>
        <v>47.5809</v>
      </c>
      <c r="G402" s="55">
        <f t="shared" si="38"/>
        <v>39.200000000000003</v>
      </c>
      <c r="H402" s="49" t="s">
        <v>276</v>
      </c>
      <c r="I402" s="38" t="s">
        <v>697</v>
      </c>
      <c r="J402" s="38">
        <v>47.580895400000003</v>
      </c>
      <c r="K402" s="38"/>
      <c r="L402" s="381"/>
      <c r="M402" s="268"/>
      <c r="N402" s="269"/>
      <c r="O402" s="269"/>
      <c r="P402" s="283"/>
      <c r="Q402" s="269"/>
      <c r="R402" s="269"/>
      <c r="S402" s="38"/>
      <c r="T402" s="38"/>
      <c r="U402" s="38"/>
      <c r="V402" s="38"/>
      <c r="W402" s="38"/>
      <c r="X402" s="38"/>
      <c r="Y402" s="38"/>
      <c r="Z402" s="38"/>
    </row>
    <row r="403" spans="1:26" s="335" customFormat="1" x14ac:dyDescent="0.25">
      <c r="A403" s="280">
        <f t="shared" si="32"/>
        <v>401</v>
      </c>
      <c r="B403" s="277"/>
      <c r="C403" s="52" t="str">
        <f t="shared" si="39"/>
        <v>6UREYPARRAIJ</v>
      </c>
      <c r="D403" s="52"/>
      <c r="E403" s="53">
        <f>+'CALCULO TARIFAS CC '!$U$45</f>
        <v>0.82386810577067515</v>
      </c>
      <c r="F403" s="54">
        <f t="shared" si="37"/>
        <v>121.2243</v>
      </c>
      <c r="G403" s="55">
        <f t="shared" si="38"/>
        <v>99.87</v>
      </c>
      <c r="H403" s="49" t="s">
        <v>276</v>
      </c>
      <c r="I403" s="38" t="s">
        <v>698</v>
      </c>
      <c r="J403" s="38">
        <v>121.22428410000001</v>
      </c>
      <c r="K403" s="38"/>
      <c r="L403" s="381"/>
      <c r="M403" s="268"/>
      <c r="N403" s="269"/>
      <c r="O403" s="269"/>
      <c r="P403" s="283"/>
      <c r="Q403" s="269"/>
      <c r="R403" s="269"/>
      <c r="S403" s="38"/>
      <c r="T403" s="38"/>
      <c r="U403" s="38"/>
      <c r="V403" s="38"/>
      <c r="W403" s="38"/>
      <c r="X403" s="38"/>
      <c r="Y403" s="38"/>
      <c r="Z403" s="38"/>
    </row>
    <row r="404" spans="1:26" s="335" customFormat="1" x14ac:dyDescent="0.25">
      <c r="A404" s="280">
        <f t="shared" si="32"/>
        <v>402</v>
      </c>
      <c r="B404" s="277"/>
      <c r="C404" s="52" t="str">
        <f t="shared" si="39"/>
        <v>6UREYPASEOAB</v>
      </c>
      <c r="D404" s="52"/>
      <c r="E404" s="53">
        <f>+'CALCULO TARIFAS CC '!$U$45</f>
        <v>0.82386810577067515</v>
      </c>
      <c r="F404" s="54">
        <f t="shared" si="37"/>
        <v>230.345</v>
      </c>
      <c r="G404" s="55">
        <f t="shared" si="38"/>
        <v>189.77</v>
      </c>
      <c r="H404" s="49" t="s">
        <v>276</v>
      </c>
      <c r="I404" s="38" t="s">
        <v>724</v>
      </c>
      <c r="J404" s="38">
        <v>230.34498919999999</v>
      </c>
      <c r="K404" s="38"/>
      <c r="L404" s="381"/>
      <c r="M404" s="268"/>
      <c r="N404" s="269"/>
      <c r="O404" s="269"/>
      <c r="P404" s="283"/>
      <c r="Q404" s="269"/>
      <c r="R404" s="269"/>
      <c r="S404" s="38"/>
      <c r="T404" s="38"/>
      <c r="U404" s="38"/>
      <c r="V404" s="38"/>
      <c r="W404" s="38"/>
      <c r="X404" s="38"/>
      <c r="Y404" s="38"/>
      <c r="Z404" s="38"/>
    </row>
    <row r="405" spans="1:26" s="313" customFormat="1" x14ac:dyDescent="0.25">
      <c r="A405" s="280">
        <f t="shared" si="32"/>
        <v>403</v>
      </c>
      <c r="B405" s="277"/>
      <c r="C405" s="52" t="str">
        <f t="shared" si="39"/>
        <v>6UREYPME</v>
      </c>
      <c r="D405" s="52"/>
      <c r="E405" s="53">
        <f>+'CALCULO TARIFAS CC '!$U$45</f>
        <v>0.82386810577067515</v>
      </c>
      <c r="F405" s="54">
        <f t="shared" si="35"/>
        <v>80.127300000000005</v>
      </c>
      <c r="G405" s="55">
        <f t="shared" si="36"/>
        <v>66.010000000000005</v>
      </c>
      <c r="H405" s="49" t="s">
        <v>276</v>
      </c>
      <c r="I405" s="38" t="s">
        <v>756</v>
      </c>
      <c r="J405" s="38">
        <v>80.127309800000006</v>
      </c>
      <c r="K405" s="38"/>
      <c r="L405" s="381"/>
      <c r="M405" s="268"/>
      <c r="N405" s="269"/>
      <c r="O405" s="269"/>
      <c r="P405" s="283"/>
      <c r="Q405" s="269"/>
      <c r="R405" s="269"/>
      <c r="S405" s="38"/>
      <c r="T405" s="38"/>
      <c r="U405" s="38"/>
      <c r="V405" s="38"/>
      <c r="W405" s="38"/>
      <c r="X405" s="38"/>
      <c r="Y405" s="38"/>
      <c r="Z405" s="38"/>
    </row>
    <row r="406" spans="1:26" s="313" customFormat="1" x14ac:dyDescent="0.25">
      <c r="A406" s="280">
        <f t="shared" si="32"/>
        <v>404</v>
      </c>
      <c r="B406" s="277"/>
      <c r="C406" s="52" t="str">
        <f t="shared" si="39"/>
        <v>6UREYPVALLE</v>
      </c>
      <c r="D406" s="52"/>
      <c r="E406" s="53">
        <f>+'CALCULO TARIFAS CC '!$U$45</f>
        <v>0.82386810577067515</v>
      </c>
      <c r="F406" s="54">
        <f t="shared" si="35"/>
        <v>63.157699999999998</v>
      </c>
      <c r="G406" s="55">
        <f t="shared" si="36"/>
        <v>52.03</v>
      </c>
      <c r="H406" s="49" t="s">
        <v>276</v>
      </c>
      <c r="I406" s="38" t="s">
        <v>699</v>
      </c>
      <c r="J406" s="38">
        <v>63.157668299999997</v>
      </c>
      <c r="K406" s="38"/>
      <c r="L406" s="381"/>
      <c r="M406" s="268"/>
      <c r="N406" s="269"/>
      <c r="O406" s="269"/>
      <c r="P406" s="283"/>
      <c r="Q406" s="269"/>
      <c r="R406" s="269"/>
      <c r="S406" s="38"/>
      <c r="T406" s="38"/>
      <c r="U406" s="38"/>
      <c r="V406" s="38"/>
      <c r="W406" s="38"/>
      <c r="X406" s="38"/>
      <c r="Y406" s="38"/>
      <c r="Z406" s="38"/>
    </row>
    <row r="407" spans="1:26" s="313" customFormat="1" x14ac:dyDescent="0.25">
      <c r="A407" s="280">
        <f t="shared" si="32"/>
        <v>405</v>
      </c>
      <c r="B407" s="277"/>
      <c r="C407" s="52" t="str">
        <f t="shared" si="39"/>
        <v>6UREYSABANI</v>
      </c>
      <c r="D407" s="52"/>
      <c r="E407" s="53">
        <f>+'CALCULO TARIFAS CC '!$U$45</f>
        <v>0.82386810577067515</v>
      </c>
      <c r="F407" s="54">
        <f t="shared" si="35"/>
        <v>152.97559999999999</v>
      </c>
      <c r="G407" s="55">
        <f t="shared" si="36"/>
        <v>126.03</v>
      </c>
      <c r="H407" s="49" t="s">
        <v>276</v>
      </c>
      <c r="I407" s="38" t="s">
        <v>662</v>
      </c>
      <c r="J407" s="38">
        <v>152.9755835</v>
      </c>
      <c r="K407" s="38"/>
      <c r="L407" s="381"/>
      <c r="M407" s="268"/>
      <c r="N407" s="269"/>
      <c r="O407" s="269"/>
      <c r="P407" s="283"/>
      <c r="Q407" s="269"/>
      <c r="R407" s="269"/>
      <c r="S407" s="38"/>
      <c r="T407" s="38"/>
      <c r="U407" s="38"/>
      <c r="V407" s="38"/>
      <c r="W407" s="38"/>
      <c r="X407" s="38"/>
      <c r="Y407" s="38"/>
      <c r="Z407" s="38"/>
    </row>
    <row r="408" spans="1:26" s="313" customFormat="1" x14ac:dyDescent="0.25">
      <c r="A408" s="280">
        <f t="shared" si="32"/>
        <v>406</v>
      </c>
      <c r="B408" s="277"/>
      <c r="C408" s="52" t="str">
        <f t="shared" si="39"/>
        <v>6UREYSMARIA</v>
      </c>
      <c r="D408" s="52"/>
      <c r="E408" s="53">
        <f>+'CALCULO TARIFAS CC '!$U$45</f>
        <v>0.82386810577067515</v>
      </c>
      <c r="F408" s="54">
        <f t="shared" si="35"/>
        <v>100.5371</v>
      </c>
      <c r="G408" s="55">
        <f t="shared" si="36"/>
        <v>82.83</v>
      </c>
      <c r="H408" s="49" t="s">
        <v>276</v>
      </c>
      <c r="I408" s="38" t="s">
        <v>663</v>
      </c>
      <c r="J408" s="38">
        <v>100.5370942</v>
      </c>
      <c r="K408" s="38"/>
      <c r="L408" s="381"/>
      <c r="M408" s="268"/>
      <c r="N408" s="269"/>
      <c r="O408" s="269"/>
      <c r="P408" s="283"/>
      <c r="Q408" s="269"/>
      <c r="R408" s="269"/>
      <c r="S408" s="38"/>
      <c r="T408" s="38"/>
      <c r="U408" s="38"/>
      <c r="V408" s="38"/>
      <c r="W408" s="38"/>
      <c r="X408" s="38"/>
      <c r="Y408" s="38"/>
      <c r="Z408" s="38"/>
    </row>
    <row r="409" spans="1:26" s="313" customFormat="1" x14ac:dyDescent="0.25">
      <c r="A409" s="280">
        <f t="shared" si="32"/>
        <v>407</v>
      </c>
      <c r="B409" s="277"/>
      <c r="C409" s="52" t="str">
        <f t="shared" si="39"/>
        <v>6UREYSTGO</v>
      </c>
      <c r="D409" s="52"/>
      <c r="E409" s="53">
        <f>+'CALCULO TARIFAS CC '!$U$45</f>
        <v>0.82386810577067515</v>
      </c>
      <c r="F409" s="54">
        <f t="shared" si="35"/>
        <v>169.03190000000001</v>
      </c>
      <c r="G409" s="55">
        <f t="shared" si="36"/>
        <v>139.26</v>
      </c>
      <c r="H409" s="49" t="s">
        <v>276</v>
      </c>
      <c r="I409" s="38" t="s">
        <v>725</v>
      </c>
      <c r="J409" s="38">
        <v>169.03193099999999</v>
      </c>
      <c r="K409" s="38"/>
      <c r="L409" s="381"/>
      <c r="M409" s="268"/>
      <c r="N409" s="269"/>
      <c r="O409" s="269"/>
      <c r="P409" s="283"/>
      <c r="Q409" s="269"/>
      <c r="R409" s="269"/>
      <c r="S409" s="38"/>
      <c r="T409" s="38"/>
      <c r="U409" s="38"/>
      <c r="V409" s="38"/>
      <c r="W409" s="38"/>
      <c r="X409" s="38"/>
      <c r="Y409" s="38"/>
      <c r="Z409" s="38"/>
    </row>
    <row r="410" spans="1:26" s="313" customFormat="1" x14ac:dyDescent="0.25">
      <c r="A410" s="280">
        <f t="shared" si="32"/>
        <v>408</v>
      </c>
      <c r="B410" s="277"/>
      <c r="C410" s="52" t="str">
        <f t="shared" si="39"/>
        <v>6UREYVALEGRE</v>
      </c>
      <c r="D410" s="52"/>
      <c r="E410" s="53">
        <f>+'CALCULO TARIFAS CC '!$U$45</f>
        <v>0.82386810577067515</v>
      </c>
      <c r="F410" s="54">
        <f t="shared" si="35"/>
        <v>133.1738</v>
      </c>
      <c r="G410" s="55">
        <f t="shared" si="36"/>
        <v>109.72</v>
      </c>
      <c r="H410" s="49" t="s">
        <v>276</v>
      </c>
      <c r="I410" s="38" t="s">
        <v>726</v>
      </c>
      <c r="J410" s="38">
        <v>133.1738489</v>
      </c>
      <c r="K410" s="38"/>
      <c r="L410" s="381"/>
      <c r="M410" s="268"/>
      <c r="N410" s="269"/>
      <c r="O410" s="269"/>
      <c r="P410" s="283"/>
      <c r="Q410" s="269"/>
      <c r="R410" s="269"/>
      <c r="S410" s="38"/>
      <c r="T410" s="38"/>
      <c r="U410" s="38"/>
      <c r="V410" s="38"/>
      <c r="W410" s="38"/>
      <c r="X410" s="38"/>
      <c r="Y410" s="38"/>
      <c r="Z410" s="38"/>
    </row>
    <row r="411" spans="1:26" s="313" customFormat="1" x14ac:dyDescent="0.25">
      <c r="A411" s="280">
        <f t="shared" si="32"/>
        <v>409</v>
      </c>
      <c r="B411" s="277"/>
      <c r="C411" s="52" t="str">
        <f t="shared" si="39"/>
        <v>6UREYVERSAL</v>
      </c>
      <c r="D411" s="52"/>
      <c r="E411" s="53">
        <f>+'CALCULO TARIFAS CC '!$U$45</f>
        <v>0.82386810577067515</v>
      </c>
      <c r="F411" s="54">
        <f t="shared" si="35"/>
        <v>169.54750000000001</v>
      </c>
      <c r="G411" s="55">
        <f t="shared" si="36"/>
        <v>139.68</v>
      </c>
      <c r="H411" s="49" t="s">
        <v>276</v>
      </c>
      <c r="I411" s="38" t="s">
        <v>664</v>
      </c>
      <c r="J411" s="38">
        <v>169.54753049999999</v>
      </c>
      <c r="K411" s="38"/>
      <c r="L411" s="381"/>
      <c r="M411" s="268"/>
      <c r="N411" s="269"/>
      <c r="O411" s="269"/>
      <c r="P411" s="283"/>
      <c r="Q411" s="269"/>
      <c r="R411" s="269"/>
      <c r="S411" s="38"/>
      <c r="T411" s="38"/>
      <c r="U411" s="38"/>
      <c r="V411" s="38"/>
      <c r="W411" s="38"/>
      <c r="X411" s="38"/>
      <c r="Y411" s="38"/>
      <c r="Z411" s="38"/>
    </row>
    <row r="412" spans="1:26" s="313" customFormat="1" x14ac:dyDescent="0.25">
      <c r="A412" s="280">
        <f t="shared" si="32"/>
        <v>410</v>
      </c>
      <c r="B412" s="277"/>
      <c r="C412" s="52" t="str">
        <f t="shared" si="39"/>
        <v>6UREYVESPANA</v>
      </c>
      <c r="D412" s="52"/>
      <c r="E412" s="53">
        <f>+'CALCULO TARIFAS CC '!$U$45</f>
        <v>0.82386810577067515</v>
      </c>
      <c r="F412" s="54">
        <f t="shared" si="35"/>
        <v>182.6438</v>
      </c>
      <c r="G412" s="55">
        <f t="shared" si="36"/>
        <v>150.47</v>
      </c>
      <c r="H412" s="49" t="s">
        <v>276</v>
      </c>
      <c r="I412" s="38" t="s">
        <v>727</v>
      </c>
      <c r="J412" s="38">
        <v>182.6437804</v>
      </c>
      <c r="K412" s="38"/>
      <c r="L412" s="381"/>
      <c r="M412" s="268"/>
      <c r="N412" s="269"/>
      <c r="O412" s="269"/>
      <c r="P412" s="283"/>
      <c r="Q412" s="269"/>
      <c r="R412" s="269"/>
      <c r="S412" s="38"/>
      <c r="T412" s="38"/>
      <c r="U412" s="38"/>
      <c r="V412" s="38"/>
      <c r="W412" s="38"/>
      <c r="X412" s="38"/>
      <c r="Y412" s="38"/>
      <c r="Z412" s="38"/>
    </row>
    <row r="413" spans="1:26" s="313" customFormat="1" x14ac:dyDescent="0.25">
      <c r="A413" s="280">
        <f t="shared" si="32"/>
        <v>411</v>
      </c>
      <c r="B413" s="277"/>
      <c r="C413" s="52" t="str">
        <f t="shared" si="39"/>
        <v>6UREYVLUCRE</v>
      </c>
      <c r="D413" s="52"/>
      <c r="E413" s="53">
        <f>+'CALCULO TARIFAS CC '!$U$45</f>
        <v>0.82386810577067515</v>
      </c>
      <c r="F413" s="54">
        <f t="shared" si="35"/>
        <v>139.9358</v>
      </c>
      <c r="G413" s="55">
        <f t="shared" si="36"/>
        <v>115.29</v>
      </c>
      <c r="H413" s="49" t="s">
        <v>276</v>
      </c>
      <c r="I413" s="38" t="s">
        <v>629</v>
      </c>
      <c r="J413" s="38">
        <v>139.9358096</v>
      </c>
      <c r="K413" s="38"/>
      <c r="L413" s="381"/>
      <c r="M413" s="268"/>
      <c r="N413" s="269"/>
      <c r="O413" s="269"/>
      <c r="P413" s="283"/>
      <c r="Q413" s="269"/>
      <c r="R413" s="269"/>
      <c r="S413" s="38"/>
      <c r="T413" s="38"/>
      <c r="U413" s="38"/>
      <c r="V413" s="38"/>
      <c r="W413" s="38"/>
      <c r="X413" s="38"/>
      <c r="Y413" s="38"/>
      <c r="Z413" s="38"/>
    </row>
    <row r="414" spans="1:26" s="313" customFormat="1" x14ac:dyDescent="0.25">
      <c r="A414" s="280">
        <f t="shared" si="32"/>
        <v>412</v>
      </c>
      <c r="B414" s="277"/>
      <c r="C414" s="52" t="str">
        <f t="shared" si="39"/>
        <v>6URODEO</v>
      </c>
      <c r="D414" s="52"/>
      <c r="E414" s="53">
        <f>+'CALCULO TARIFAS CC '!$U$45</f>
        <v>0.82386810577067515</v>
      </c>
      <c r="F414" s="54">
        <f t="shared" si="35"/>
        <v>244.03749999999999</v>
      </c>
      <c r="G414" s="55">
        <f t="shared" si="36"/>
        <v>201.05</v>
      </c>
      <c r="H414" s="49" t="s">
        <v>276</v>
      </c>
      <c r="I414" s="38" t="s">
        <v>860</v>
      </c>
      <c r="J414" s="38">
        <v>244.03749429999999</v>
      </c>
      <c r="K414" s="38"/>
      <c r="L414" s="381"/>
      <c r="M414" s="268"/>
      <c r="N414" s="269"/>
      <c r="O414" s="269"/>
      <c r="P414" s="283"/>
      <c r="Q414" s="269"/>
      <c r="R414" s="269"/>
      <c r="S414" s="38"/>
      <c r="T414" s="38"/>
      <c r="U414" s="38"/>
      <c r="V414" s="38"/>
      <c r="W414" s="38"/>
      <c r="X414" s="38"/>
      <c r="Y414" s="38"/>
      <c r="Z414" s="38"/>
    </row>
    <row r="415" spans="1:26" s="313" customFormat="1" x14ac:dyDescent="0.25">
      <c r="A415" s="280">
        <f t="shared" si="32"/>
        <v>413</v>
      </c>
      <c r="B415" s="277"/>
      <c r="C415" s="52" t="str">
        <f t="shared" si="39"/>
        <v>6UROMBOLIVAR</v>
      </c>
      <c r="D415" s="52"/>
      <c r="E415" s="53">
        <f>+'CALCULO TARIFAS CC '!$U$45</f>
        <v>0.82386810577067515</v>
      </c>
      <c r="F415" s="54">
        <f t="shared" si="35"/>
        <v>64.1357</v>
      </c>
      <c r="G415" s="55">
        <f t="shared" si="36"/>
        <v>52.84</v>
      </c>
      <c r="H415" s="49" t="s">
        <v>276</v>
      </c>
      <c r="I415" s="38" t="s">
        <v>700</v>
      </c>
      <c r="J415" s="38">
        <v>64.135737199999994</v>
      </c>
      <c r="K415" s="38"/>
      <c r="L415" s="381"/>
      <c r="M415" s="268"/>
      <c r="N415" s="269"/>
      <c r="O415" s="269"/>
      <c r="P415" s="283"/>
      <c r="Q415" s="269"/>
      <c r="R415" s="269"/>
      <c r="S415" s="38"/>
      <c r="T415" s="38"/>
      <c r="U415" s="38"/>
      <c r="V415" s="38"/>
      <c r="W415" s="38"/>
      <c r="X415" s="38"/>
      <c r="Y415" s="38"/>
      <c r="Z415" s="38"/>
    </row>
    <row r="416" spans="1:26" s="313" customFormat="1" x14ac:dyDescent="0.25">
      <c r="A416" s="280">
        <f t="shared" si="32"/>
        <v>414</v>
      </c>
      <c r="B416" s="277"/>
      <c r="C416" s="52" t="str">
        <f t="shared" si="39"/>
        <v>6UROMBUGABA</v>
      </c>
      <c r="D416" s="52"/>
      <c r="E416" s="53">
        <f>+'CALCULO TARIFAS CC '!$U$45</f>
        <v>0.82386810577067515</v>
      </c>
      <c r="F416" s="54">
        <f t="shared" si="35"/>
        <v>135.37710000000001</v>
      </c>
      <c r="G416" s="55">
        <f t="shared" si="36"/>
        <v>111.53</v>
      </c>
      <c r="H416" s="49" t="s">
        <v>276</v>
      </c>
      <c r="I416" s="38" t="s">
        <v>701</v>
      </c>
      <c r="J416" s="38">
        <v>135.3771375</v>
      </c>
      <c r="K416" s="38"/>
      <c r="L416" s="381"/>
      <c r="M416" s="268"/>
      <c r="N416" s="269"/>
      <c r="O416" s="269"/>
      <c r="P416" s="283"/>
      <c r="Q416" s="269"/>
      <c r="R416" s="269"/>
      <c r="S416" s="38"/>
      <c r="T416" s="38"/>
      <c r="U416" s="38"/>
      <c r="V416" s="38"/>
      <c r="W416" s="38"/>
      <c r="X416" s="38"/>
      <c r="Y416" s="38"/>
      <c r="Z416" s="38"/>
    </row>
    <row r="417" spans="1:26" s="313" customFormat="1" x14ac:dyDescent="0.25">
      <c r="A417" s="280">
        <f t="shared" si="32"/>
        <v>415</v>
      </c>
      <c r="B417" s="277"/>
      <c r="C417" s="52" t="str">
        <f t="shared" si="39"/>
        <v>6UROMDOLEG</v>
      </c>
      <c r="D417" s="52"/>
      <c r="E417" s="53">
        <f>+'CALCULO TARIFAS CC '!$U$45</f>
        <v>0.82386810577067515</v>
      </c>
      <c r="F417" s="54">
        <f t="shared" si="35"/>
        <v>102.7422</v>
      </c>
      <c r="G417" s="55">
        <f t="shared" si="36"/>
        <v>84.65</v>
      </c>
      <c r="H417" s="49" t="s">
        <v>276</v>
      </c>
      <c r="I417" s="38" t="s">
        <v>757</v>
      </c>
      <c r="J417" s="38">
        <v>102.74217969999999</v>
      </c>
      <c r="K417" s="38"/>
      <c r="L417" s="381"/>
      <c r="M417" s="268"/>
      <c r="N417" s="269"/>
      <c r="O417" s="269"/>
      <c r="P417" s="283"/>
      <c r="Q417" s="269"/>
      <c r="R417" s="269"/>
      <c r="S417" s="38"/>
      <c r="T417" s="38"/>
      <c r="U417" s="38"/>
      <c r="V417" s="38"/>
      <c r="W417" s="38"/>
      <c r="X417" s="38"/>
      <c r="Y417" s="38"/>
      <c r="Z417" s="38"/>
    </row>
    <row r="418" spans="1:26" s="313" customFormat="1" x14ac:dyDescent="0.25">
      <c r="A418" s="280">
        <f t="shared" si="32"/>
        <v>416</v>
      </c>
      <c r="B418" s="277"/>
      <c r="C418" s="52" t="str">
        <f t="shared" si="39"/>
        <v>6UROMLARIV</v>
      </c>
      <c r="D418" s="52"/>
      <c r="E418" s="53">
        <f>+'CALCULO TARIFAS CC '!$U$45</f>
        <v>0.82386810577067515</v>
      </c>
      <c r="F418" s="54">
        <f t="shared" si="35"/>
        <v>76.160600000000002</v>
      </c>
      <c r="G418" s="55">
        <f t="shared" si="36"/>
        <v>62.75</v>
      </c>
      <c r="H418" s="49" t="s">
        <v>276</v>
      </c>
      <c r="I418" s="38" t="s">
        <v>728</v>
      </c>
      <c r="J418" s="38">
        <v>76.160634900000005</v>
      </c>
      <c r="K418" s="38"/>
      <c r="L418" s="381"/>
      <c r="M418" s="268"/>
      <c r="N418" s="269"/>
      <c r="O418" s="269"/>
      <c r="P418" s="283"/>
      <c r="Q418" s="269"/>
      <c r="R418" s="269"/>
      <c r="S418" s="38"/>
      <c r="T418" s="38"/>
      <c r="U418" s="38"/>
      <c r="V418" s="38"/>
      <c r="W418" s="38"/>
      <c r="X418" s="38"/>
      <c r="Y418" s="38"/>
      <c r="Z418" s="38"/>
    </row>
    <row r="419" spans="1:26" s="313" customFormat="1" x14ac:dyDescent="0.25">
      <c r="A419" s="280">
        <f t="shared" si="32"/>
        <v>417</v>
      </c>
      <c r="B419" s="277"/>
      <c r="C419" s="52" t="str">
        <f t="shared" si="39"/>
        <v>6UROMPDAVID</v>
      </c>
      <c r="D419" s="52"/>
      <c r="E419" s="53">
        <f>+'CALCULO TARIFAS CC '!$U$45</f>
        <v>0.82386810577067515</v>
      </c>
      <c r="F419" s="54">
        <f t="shared" si="35"/>
        <v>142.90049999999999</v>
      </c>
      <c r="G419" s="55">
        <f t="shared" si="36"/>
        <v>117.73</v>
      </c>
      <c r="H419" s="49" t="s">
        <v>276</v>
      </c>
      <c r="I419" s="38" t="s">
        <v>729</v>
      </c>
      <c r="J419" s="38">
        <v>142.9004947</v>
      </c>
      <c r="K419" s="38"/>
      <c r="L419" s="381"/>
      <c r="M419" s="268"/>
      <c r="N419" s="269"/>
      <c r="O419" s="269"/>
      <c r="P419" s="283"/>
      <c r="Q419" s="269"/>
      <c r="R419" s="269"/>
      <c r="S419" s="38"/>
      <c r="T419" s="38"/>
      <c r="U419" s="38"/>
      <c r="V419" s="38"/>
      <c r="W419" s="38"/>
      <c r="X419" s="38"/>
      <c r="Y419" s="38"/>
      <c r="Z419" s="38"/>
    </row>
    <row r="420" spans="1:26" s="313" customFormat="1" x14ac:dyDescent="0.25">
      <c r="A420" s="280">
        <f t="shared" si="32"/>
        <v>418</v>
      </c>
      <c r="B420" s="277"/>
      <c r="C420" s="52" t="str">
        <f t="shared" si="39"/>
        <v>6UROMPTOARM</v>
      </c>
      <c r="D420" s="52"/>
      <c r="E420" s="53">
        <f>+'CALCULO TARIFAS CC '!$U$45</f>
        <v>0.82386810577067515</v>
      </c>
      <c r="F420" s="54">
        <f t="shared" si="35"/>
        <v>52.3459</v>
      </c>
      <c r="G420" s="55">
        <f t="shared" si="36"/>
        <v>43.13</v>
      </c>
      <c r="H420" s="49" t="s">
        <v>276</v>
      </c>
      <c r="I420" s="38" t="s">
        <v>730</v>
      </c>
      <c r="J420" s="38">
        <v>52.345908600000001</v>
      </c>
      <c r="K420" s="38"/>
      <c r="L420" s="381"/>
      <c r="M420" s="268"/>
      <c r="N420" s="269"/>
      <c r="O420" s="269"/>
      <c r="P420" s="283"/>
      <c r="Q420" s="269"/>
      <c r="R420" s="269"/>
      <c r="S420" s="38"/>
      <c r="T420" s="38"/>
      <c r="U420" s="38"/>
      <c r="V420" s="38"/>
      <c r="W420" s="38"/>
      <c r="X420" s="38"/>
      <c r="Y420" s="38"/>
      <c r="Z420" s="38"/>
    </row>
    <row r="421" spans="1:26" s="313" customFormat="1" x14ac:dyDescent="0.25">
      <c r="A421" s="280">
        <f t="shared" ref="A421:A510" si="40">A420+1</f>
        <v>419</v>
      </c>
      <c r="B421" s="277"/>
      <c r="C421" s="52" t="str">
        <f t="shared" si="39"/>
        <v>6UROMSMATEO</v>
      </c>
      <c r="D421" s="52"/>
      <c r="E421" s="53">
        <f>+'CALCULO TARIFAS CC '!$U$45</f>
        <v>0.82386810577067515</v>
      </c>
      <c r="F421" s="54">
        <f t="shared" si="35"/>
        <v>156.51750000000001</v>
      </c>
      <c r="G421" s="55">
        <f t="shared" si="36"/>
        <v>128.94999999999999</v>
      </c>
      <c r="H421" s="49" t="s">
        <v>276</v>
      </c>
      <c r="I421" s="38" t="s">
        <v>731</v>
      </c>
      <c r="J421" s="38">
        <v>156.51754099999999</v>
      </c>
      <c r="K421" s="38"/>
      <c r="L421" s="381"/>
      <c r="M421" s="268"/>
      <c r="N421" s="269"/>
      <c r="O421" s="269"/>
      <c r="P421" s="283"/>
      <c r="Q421" s="269"/>
      <c r="R421" s="269"/>
      <c r="S421" s="38"/>
      <c r="T421" s="38"/>
      <c r="U421" s="38"/>
      <c r="V421" s="38"/>
      <c r="W421" s="38"/>
      <c r="X421" s="38"/>
      <c r="Y421" s="38"/>
      <c r="Z421" s="38"/>
    </row>
    <row r="422" spans="1:26" s="313" customFormat="1" x14ac:dyDescent="0.25">
      <c r="A422" s="280">
        <f t="shared" si="40"/>
        <v>420</v>
      </c>
      <c r="B422" s="277"/>
      <c r="C422" s="52" t="str">
        <f t="shared" si="39"/>
        <v>6UROROCRIST</v>
      </c>
      <c r="D422" s="52"/>
      <c r="E422" s="53">
        <f>+'CALCULO TARIFAS CC '!$U$45</f>
        <v>0.82386810577067515</v>
      </c>
      <c r="F422" s="54">
        <f t="shared" si="35"/>
        <v>47.787999999999997</v>
      </c>
      <c r="G422" s="55">
        <f t="shared" si="36"/>
        <v>39.369999999999997</v>
      </c>
      <c r="H422" s="49" t="s">
        <v>276</v>
      </c>
      <c r="I422" s="38" t="s">
        <v>630</v>
      </c>
      <c r="J422" s="38">
        <v>47.788028400000002</v>
      </c>
      <c r="K422" s="38"/>
      <c r="L422" s="381"/>
      <c r="M422" s="268"/>
      <c r="N422" s="269"/>
      <c r="O422" s="269"/>
      <c r="P422" s="283"/>
      <c r="Q422" s="269"/>
      <c r="R422" s="269"/>
      <c r="S422" s="38"/>
      <c r="T422" s="38"/>
      <c r="U422" s="38"/>
      <c r="V422" s="38"/>
      <c r="W422" s="38"/>
      <c r="X422" s="38"/>
      <c r="Y422" s="38"/>
      <c r="Z422" s="38"/>
    </row>
    <row r="423" spans="1:26" s="313" customFormat="1" x14ac:dyDescent="0.25">
      <c r="A423" s="280">
        <f t="shared" si="40"/>
        <v>421</v>
      </c>
      <c r="B423" s="277"/>
      <c r="C423" s="52" t="str">
        <f t="shared" si="39"/>
        <v>6URSAPLAZA</v>
      </c>
      <c r="D423" s="52"/>
      <c r="E423" s="53">
        <f>+'CALCULO TARIFAS CC '!$U$45</f>
        <v>0.82386810577067515</v>
      </c>
      <c r="F423" s="54">
        <f t="shared" si="35"/>
        <v>223.41300000000001</v>
      </c>
      <c r="G423" s="55">
        <f t="shared" si="36"/>
        <v>184.06</v>
      </c>
      <c r="H423" s="49" t="s">
        <v>276</v>
      </c>
      <c r="I423" s="38" t="s">
        <v>485</v>
      </c>
      <c r="J423" s="38">
        <v>223.4129849</v>
      </c>
      <c r="K423" s="38"/>
      <c r="L423" s="381"/>
      <c r="M423" s="268"/>
      <c r="N423" s="269"/>
      <c r="O423" s="269"/>
      <c r="P423" s="283"/>
      <c r="Q423" s="269"/>
      <c r="R423" s="269"/>
      <c r="S423" s="38"/>
      <c r="T423" s="38"/>
      <c r="U423" s="38"/>
      <c r="V423" s="38"/>
      <c r="W423" s="38"/>
      <c r="X423" s="38"/>
      <c r="Y423" s="38"/>
      <c r="Z423" s="38"/>
    </row>
    <row r="424" spans="1:26" s="313" customFormat="1" x14ac:dyDescent="0.25">
      <c r="A424" s="280">
        <f t="shared" si="40"/>
        <v>422</v>
      </c>
      <c r="B424" s="277"/>
      <c r="C424" s="52" t="str">
        <f t="shared" si="39"/>
        <v>6URSBGOLF</v>
      </c>
      <c r="D424" s="52"/>
      <c r="E424" s="53">
        <f>+'CALCULO TARIFAS CC '!$U$45</f>
        <v>0.82386810577067515</v>
      </c>
      <c r="F424" s="54">
        <f t="shared" si="35"/>
        <v>286.16109999999998</v>
      </c>
      <c r="G424" s="55">
        <f t="shared" si="36"/>
        <v>235.76</v>
      </c>
      <c r="H424" s="49" t="s">
        <v>276</v>
      </c>
      <c r="I424" s="38" t="s">
        <v>401</v>
      </c>
      <c r="J424" s="38">
        <v>286.1610756</v>
      </c>
      <c r="K424" s="38"/>
      <c r="L424" s="381"/>
      <c r="M424" s="268"/>
      <c r="N424" s="269"/>
      <c r="O424" s="269"/>
      <c r="P424" s="283"/>
      <c r="Q424" s="269"/>
      <c r="R424" s="269"/>
      <c r="S424" s="38"/>
      <c r="T424" s="38"/>
      <c r="U424" s="38"/>
      <c r="V424" s="38"/>
      <c r="W424" s="38"/>
      <c r="X424" s="38"/>
      <c r="Y424" s="38"/>
      <c r="Z424" s="38"/>
    </row>
    <row r="425" spans="1:26" s="313" customFormat="1" x14ac:dyDescent="0.25">
      <c r="A425" s="280">
        <f t="shared" si="40"/>
        <v>423</v>
      </c>
      <c r="B425" s="277"/>
      <c r="C425" s="52" t="str">
        <f t="shared" si="39"/>
        <v>6URSBVISTA</v>
      </c>
      <c r="D425" s="52"/>
      <c r="E425" s="53">
        <f>+'CALCULO TARIFAS CC '!$U$45</f>
        <v>0.82386810577067515</v>
      </c>
      <c r="F425" s="54">
        <f t="shared" si="35"/>
        <v>326.74759999999998</v>
      </c>
      <c r="G425" s="55">
        <f t="shared" si="36"/>
        <v>269.2</v>
      </c>
      <c r="H425" s="49" t="s">
        <v>276</v>
      </c>
      <c r="I425" s="38" t="s">
        <v>444</v>
      </c>
      <c r="J425" s="38">
        <v>326.74760900000001</v>
      </c>
      <c r="K425" s="38"/>
      <c r="L425" s="381"/>
      <c r="M425" s="268"/>
      <c r="N425" s="269"/>
      <c r="O425" s="269"/>
      <c r="P425" s="283"/>
      <c r="Q425" s="269"/>
      <c r="R425" s="269"/>
      <c r="S425" s="38"/>
      <c r="T425" s="38"/>
      <c r="U425" s="38"/>
      <c r="V425" s="38"/>
      <c r="W425" s="38"/>
      <c r="X425" s="38"/>
      <c r="Y425" s="38"/>
      <c r="Z425" s="38"/>
    </row>
    <row r="426" spans="1:26" s="333" customFormat="1" x14ac:dyDescent="0.25">
      <c r="A426" s="280">
        <f t="shared" si="40"/>
        <v>424</v>
      </c>
      <c r="B426" s="277"/>
      <c r="C426" s="52" t="str">
        <f t="shared" si="39"/>
        <v>6URSCESTE</v>
      </c>
      <c r="D426" s="52"/>
      <c r="E426" s="53">
        <f>+'CALCULO TARIFAS CC '!$U$45</f>
        <v>0.82386810577067515</v>
      </c>
      <c r="F426" s="54">
        <f t="shared" ref="F426:F443" si="41">ROUND(J426,4)</f>
        <v>386.40069999999997</v>
      </c>
      <c r="G426" s="55">
        <f t="shared" ref="G426:G443" si="42">+ROUND(F426*E426,2)</f>
        <v>318.33999999999997</v>
      </c>
      <c r="H426" s="49" t="s">
        <v>276</v>
      </c>
      <c r="I426" s="38" t="s">
        <v>400</v>
      </c>
      <c r="J426" s="38">
        <v>386.40074559999999</v>
      </c>
      <c r="K426" s="38"/>
      <c r="L426" s="381"/>
      <c r="M426" s="268"/>
      <c r="N426" s="269"/>
      <c r="O426" s="269"/>
      <c r="P426" s="283"/>
      <c r="Q426" s="269"/>
      <c r="R426" s="269"/>
      <c r="S426" s="38"/>
      <c r="T426" s="38"/>
      <c r="U426" s="38"/>
      <c r="V426" s="38"/>
      <c r="W426" s="38"/>
      <c r="X426" s="38"/>
      <c r="Y426" s="38"/>
      <c r="Z426" s="38"/>
    </row>
    <row r="427" spans="1:26" s="333" customFormat="1" x14ac:dyDescent="0.25">
      <c r="A427" s="280">
        <f t="shared" si="40"/>
        <v>425</v>
      </c>
      <c r="B427" s="277"/>
      <c r="C427" s="52" t="str">
        <f t="shared" si="39"/>
        <v>6URSCHITRE</v>
      </c>
      <c r="D427" s="52"/>
      <c r="E427" s="53">
        <f>+'CALCULO TARIFAS CC '!$U$45</f>
        <v>0.82386810577067515</v>
      </c>
      <c r="F427" s="54">
        <f t="shared" si="41"/>
        <v>75.608000000000004</v>
      </c>
      <c r="G427" s="55">
        <f t="shared" si="42"/>
        <v>62.29</v>
      </c>
      <c r="H427" s="49" t="s">
        <v>276</v>
      </c>
      <c r="I427" s="38" t="s">
        <v>447</v>
      </c>
      <c r="J427" s="38">
        <v>75.608040799999998</v>
      </c>
      <c r="K427" s="38"/>
      <c r="L427" s="381"/>
      <c r="M427" s="268"/>
      <c r="N427" s="269"/>
      <c r="O427" s="269"/>
      <c r="P427" s="283"/>
      <c r="Q427" s="269"/>
      <c r="R427" s="269"/>
      <c r="S427" s="38"/>
      <c r="T427" s="38"/>
      <c r="U427" s="38"/>
      <c r="V427" s="38"/>
      <c r="W427" s="38"/>
      <c r="X427" s="38"/>
      <c r="Y427" s="38"/>
      <c r="Z427" s="38"/>
    </row>
    <row r="428" spans="1:26" s="333" customFormat="1" x14ac:dyDescent="0.25">
      <c r="A428" s="280">
        <f t="shared" si="40"/>
        <v>426</v>
      </c>
      <c r="B428" s="277"/>
      <c r="C428" s="52" t="str">
        <f t="shared" si="39"/>
        <v>6URSCORONA</v>
      </c>
      <c r="D428" s="52"/>
      <c r="E428" s="53">
        <f>+'CALCULO TARIFAS CC '!$U$45</f>
        <v>0.82386810577067515</v>
      </c>
      <c r="F428" s="54">
        <f t="shared" si="41"/>
        <v>47.614600000000003</v>
      </c>
      <c r="G428" s="55">
        <f t="shared" si="42"/>
        <v>39.229999999999997</v>
      </c>
      <c r="H428" s="49" t="s">
        <v>276</v>
      </c>
      <c r="I428" s="38" t="s">
        <v>446</v>
      </c>
      <c r="J428" s="38">
        <v>47.614572699999997</v>
      </c>
      <c r="K428" s="38"/>
      <c r="L428" s="381"/>
      <c r="M428" s="268"/>
      <c r="N428" s="269"/>
      <c r="O428" s="269"/>
      <c r="P428" s="283"/>
      <c r="Q428" s="269"/>
      <c r="R428" s="269"/>
      <c r="S428" s="38"/>
      <c r="T428" s="38"/>
      <c r="U428" s="38"/>
      <c r="V428" s="38"/>
      <c r="W428" s="38"/>
      <c r="X428" s="38"/>
      <c r="Y428" s="38"/>
      <c r="Z428" s="38"/>
    </row>
    <row r="429" spans="1:26" s="333" customFormat="1" x14ac:dyDescent="0.25">
      <c r="A429" s="280">
        <f t="shared" si="40"/>
        <v>427</v>
      </c>
      <c r="B429" s="277"/>
      <c r="C429" s="52" t="str">
        <f t="shared" si="39"/>
        <v>6URSHOWARD</v>
      </c>
      <c r="D429" s="52"/>
      <c r="E429" s="53">
        <f>+'CALCULO TARIFAS CC '!$U$45</f>
        <v>0.82386810577067515</v>
      </c>
      <c r="F429" s="54">
        <f t="shared" si="41"/>
        <v>92.926199999999994</v>
      </c>
      <c r="G429" s="55">
        <f t="shared" si="42"/>
        <v>76.56</v>
      </c>
      <c r="H429" s="49" t="s">
        <v>276</v>
      </c>
      <c r="I429" s="38" t="s">
        <v>443</v>
      </c>
      <c r="J429" s="38">
        <v>92.926191700000004</v>
      </c>
      <c r="K429" s="38"/>
      <c r="L429" s="381"/>
      <c r="M429" s="268"/>
      <c r="N429" s="269"/>
      <c r="O429" s="269"/>
      <c r="P429" s="283"/>
      <c r="Q429" s="269"/>
      <c r="R429" s="269"/>
      <c r="S429" s="38"/>
      <c r="T429" s="38"/>
      <c r="U429" s="38"/>
      <c r="V429" s="38"/>
      <c r="W429" s="38"/>
      <c r="X429" s="38"/>
      <c r="Y429" s="38"/>
      <c r="Z429" s="38"/>
    </row>
    <row r="430" spans="1:26" s="333" customFormat="1" x14ac:dyDescent="0.25">
      <c r="A430" s="280">
        <f t="shared" si="40"/>
        <v>428</v>
      </c>
      <c r="B430" s="277"/>
      <c r="C430" s="52" t="str">
        <f t="shared" si="39"/>
        <v>6URSMARKET</v>
      </c>
      <c r="D430" s="52"/>
      <c r="E430" s="53">
        <f>+'CALCULO TARIFAS CC '!$U$45</f>
        <v>0.82386810577067515</v>
      </c>
      <c r="F430" s="54">
        <f t="shared" si="41"/>
        <v>200.0547</v>
      </c>
      <c r="G430" s="55">
        <f t="shared" si="42"/>
        <v>164.82</v>
      </c>
      <c r="H430" s="49" t="s">
        <v>276</v>
      </c>
      <c r="I430" s="38" t="s">
        <v>445</v>
      </c>
      <c r="J430" s="38">
        <v>200.054699</v>
      </c>
      <c r="K430" s="38"/>
      <c r="L430" s="381"/>
      <c r="M430" s="268"/>
      <c r="N430" s="269"/>
      <c r="O430" s="269"/>
      <c r="P430" s="283"/>
      <c r="Q430" s="269"/>
      <c r="R430" s="269"/>
      <c r="S430" s="38"/>
      <c r="T430" s="38"/>
      <c r="U430" s="38"/>
      <c r="V430" s="38"/>
      <c r="W430" s="38"/>
      <c r="X430" s="38"/>
      <c r="Y430" s="38"/>
      <c r="Z430" s="38"/>
    </row>
    <row r="431" spans="1:26" s="333" customFormat="1" x14ac:dyDescent="0.25">
      <c r="A431" s="280">
        <f t="shared" si="40"/>
        <v>429</v>
      </c>
      <c r="B431" s="277"/>
      <c r="C431" s="52" t="str">
        <f t="shared" si="39"/>
        <v>6URSMPLAZA</v>
      </c>
      <c r="D431" s="52"/>
      <c r="E431" s="53">
        <f>+'CALCULO TARIFAS CC '!$U$45</f>
        <v>0.82386810577067515</v>
      </c>
      <c r="F431" s="54">
        <f t="shared" si="41"/>
        <v>234.922</v>
      </c>
      <c r="G431" s="55">
        <f t="shared" si="42"/>
        <v>193.54</v>
      </c>
      <c r="H431" s="49" t="s">
        <v>276</v>
      </c>
      <c r="I431" s="38" t="s">
        <v>442</v>
      </c>
      <c r="J431" s="38">
        <v>234.9219622</v>
      </c>
      <c r="K431" s="38"/>
      <c r="L431" s="381"/>
      <c r="M431" s="268"/>
      <c r="N431" s="269"/>
      <c r="O431" s="269"/>
      <c r="P431" s="283"/>
      <c r="Q431" s="269"/>
      <c r="R431" s="269"/>
      <c r="S431" s="38"/>
      <c r="T431" s="38"/>
      <c r="U431" s="38"/>
      <c r="V431" s="38"/>
      <c r="W431" s="38"/>
      <c r="X431" s="38"/>
      <c r="Y431" s="38"/>
      <c r="Z431" s="38"/>
    </row>
    <row r="432" spans="1:26" s="339" customFormat="1" x14ac:dyDescent="0.25">
      <c r="A432" s="280">
        <f t="shared" si="40"/>
        <v>430</v>
      </c>
      <c r="B432" s="277"/>
      <c r="C432" s="52" t="str">
        <f t="shared" si="39"/>
        <v>6URSPITA</v>
      </c>
      <c r="D432" s="52"/>
      <c r="E432" s="53">
        <f>+'CALCULO TARIFAS CC '!$U$45</f>
        <v>0.82386810577067515</v>
      </c>
      <c r="F432" s="54">
        <f t="shared" si="41"/>
        <v>1058.0815</v>
      </c>
      <c r="G432" s="55">
        <f t="shared" si="42"/>
        <v>871.72</v>
      </c>
      <c r="H432" s="49" t="s">
        <v>276</v>
      </c>
      <c r="I432" s="38" t="s">
        <v>398</v>
      </c>
      <c r="J432" s="38">
        <v>1058.0814631000001</v>
      </c>
      <c r="K432" s="38"/>
      <c r="L432" s="381"/>
      <c r="M432" s="268"/>
      <c r="N432" s="269"/>
      <c r="O432" s="269"/>
      <c r="P432" s="283"/>
      <c r="Q432" s="269"/>
      <c r="R432" s="269"/>
      <c r="S432" s="38"/>
      <c r="T432" s="38"/>
      <c r="U432" s="38"/>
      <c r="V432" s="38"/>
      <c r="W432" s="38"/>
      <c r="X432" s="38"/>
      <c r="Y432" s="38"/>
      <c r="Z432" s="38"/>
    </row>
    <row r="433" spans="1:26" s="339" customFormat="1" x14ac:dyDescent="0.25">
      <c r="A433" s="280">
        <f t="shared" si="40"/>
        <v>431</v>
      </c>
      <c r="B433" s="277"/>
      <c r="C433" s="52" t="str">
        <f t="shared" si="39"/>
        <v>6URSTRANS</v>
      </c>
      <c r="D433" s="52"/>
      <c r="E433" s="53">
        <f>+'CALCULO TARIFAS CC '!$U$45</f>
        <v>0.82386810577067515</v>
      </c>
      <c r="F433" s="54">
        <f t="shared" si="41"/>
        <v>661.85450000000003</v>
      </c>
      <c r="G433" s="55">
        <f t="shared" si="42"/>
        <v>545.28</v>
      </c>
      <c r="H433" s="49" t="s">
        <v>276</v>
      </c>
      <c r="I433" s="38" t="s">
        <v>399</v>
      </c>
      <c r="J433" s="38">
        <v>661.85445170000003</v>
      </c>
      <c r="K433" s="38"/>
      <c r="L433" s="381"/>
      <c r="M433" s="268"/>
      <c r="N433" s="269"/>
      <c r="O433" s="269"/>
      <c r="P433" s="283"/>
      <c r="Q433" s="269"/>
      <c r="R433" s="269"/>
      <c r="S433" s="38"/>
      <c r="T433" s="38"/>
      <c r="U433" s="38"/>
      <c r="V433" s="38"/>
      <c r="W433" s="38"/>
      <c r="X433" s="38"/>
      <c r="Y433" s="38"/>
      <c r="Z433" s="38"/>
    </row>
    <row r="434" spans="1:26" s="339" customFormat="1" x14ac:dyDescent="0.25">
      <c r="A434" s="280">
        <f t="shared" si="40"/>
        <v>432</v>
      </c>
      <c r="B434" s="277"/>
      <c r="C434" s="52" t="str">
        <f t="shared" si="39"/>
        <v>6US99ALBRO</v>
      </c>
      <c r="D434" s="52"/>
      <c r="E434" s="53">
        <f>+'CALCULO TARIFAS CC '!$U$45</f>
        <v>0.82386810577067515</v>
      </c>
      <c r="F434" s="54">
        <f t="shared" si="41"/>
        <v>178.3929</v>
      </c>
      <c r="G434" s="55">
        <f t="shared" si="42"/>
        <v>146.97</v>
      </c>
      <c r="H434" s="49" t="s">
        <v>276</v>
      </c>
      <c r="I434" s="38" t="s">
        <v>63</v>
      </c>
      <c r="J434" s="38">
        <v>178.39290410000001</v>
      </c>
      <c r="K434" s="38"/>
      <c r="L434" s="381"/>
      <c r="M434" s="268"/>
      <c r="N434" s="269"/>
      <c r="O434" s="269"/>
      <c r="P434" s="283"/>
      <c r="Q434" s="269"/>
      <c r="R434" s="269"/>
      <c r="S434" s="38"/>
      <c r="T434" s="38"/>
      <c r="U434" s="38"/>
      <c r="V434" s="38"/>
      <c r="W434" s="38"/>
      <c r="X434" s="38"/>
      <c r="Y434" s="38"/>
      <c r="Z434" s="38"/>
    </row>
    <row r="435" spans="1:26" s="339" customFormat="1" x14ac:dyDescent="0.25">
      <c r="A435" s="280">
        <f t="shared" si="40"/>
        <v>433</v>
      </c>
      <c r="B435" s="277"/>
      <c r="C435" s="52" t="str">
        <f t="shared" si="39"/>
        <v>6US99_ANDES</v>
      </c>
      <c r="D435" s="52"/>
      <c r="E435" s="53">
        <f>+'CALCULO TARIFAS CC '!$U$45</f>
        <v>0.82386810577067515</v>
      </c>
      <c r="F435" s="54">
        <f t="shared" si="41"/>
        <v>182.76329999999999</v>
      </c>
      <c r="G435" s="55">
        <f t="shared" si="42"/>
        <v>150.57</v>
      </c>
      <c r="H435" s="49" t="s">
        <v>276</v>
      </c>
      <c r="I435" s="38" t="s">
        <v>80</v>
      </c>
      <c r="J435" s="38">
        <v>182.7633093</v>
      </c>
      <c r="K435" s="38"/>
      <c r="L435" s="381"/>
      <c r="M435" s="268"/>
      <c r="N435" s="269"/>
      <c r="O435" s="269"/>
      <c r="P435" s="283"/>
      <c r="Q435" s="269"/>
      <c r="R435" s="269"/>
      <c r="S435" s="38"/>
      <c r="T435" s="38"/>
      <c r="U435" s="38"/>
      <c r="V435" s="38"/>
      <c r="W435" s="38"/>
      <c r="X435" s="38"/>
      <c r="Y435" s="38"/>
      <c r="Z435" s="38"/>
    </row>
    <row r="436" spans="1:26" s="339" customFormat="1" x14ac:dyDescent="0.25">
      <c r="A436" s="280">
        <f t="shared" si="40"/>
        <v>434</v>
      </c>
      <c r="B436" s="277"/>
      <c r="C436" s="52" t="str">
        <f t="shared" si="39"/>
        <v>6US99_ANDESM</v>
      </c>
      <c r="D436" s="52"/>
      <c r="E436" s="53">
        <f>+'CALCULO TARIFAS CC '!$U$45</f>
        <v>0.82386810577067515</v>
      </c>
      <c r="F436" s="54">
        <f t="shared" si="41"/>
        <v>153.6927</v>
      </c>
      <c r="G436" s="55">
        <f t="shared" si="42"/>
        <v>126.62</v>
      </c>
      <c r="H436" s="49" t="s">
        <v>276</v>
      </c>
      <c r="I436" s="38" t="s">
        <v>81</v>
      </c>
      <c r="J436" s="38">
        <v>153.69265100000001</v>
      </c>
      <c r="K436" s="38"/>
      <c r="L436" s="381"/>
      <c r="M436" s="268"/>
      <c r="N436" s="269"/>
      <c r="O436" s="269"/>
      <c r="P436" s="283"/>
      <c r="Q436" s="269"/>
      <c r="R436" s="269"/>
      <c r="S436" s="38"/>
      <c r="T436" s="38"/>
      <c r="U436" s="38"/>
      <c r="V436" s="38"/>
      <c r="W436" s="38"/>
      <c r="X436" s="38"/>
      <c r="Y436" s="38"/>
      <c r="Z436" s="38"/>
    </row>
    <row r="437" spans="1:26" s="339" customFormat="1" x14ac:dyDescent="0.25">
      <c r="A437" s="280">
        <f t="shared" si="40"/>
        <v>435</v>
      </c>
      <c r="B437" s="277"/>
      <c r="C437" s="52" t="str">
        <f t="shared" si="39"/>
        <v>6US99_ARRAJ</v>
      </c>
      <c r="D437" s="52"/>
      <c r="E437" s="53">
        <f>+'CALCULO TARIFAS CC '!$U$45</f>
        <v>0.82386810577067515</v>
      </c>
      <c r="F437" s="54">
        <f t="shared" si="41"/>
        <v>139.94890000000001</v>
      </c>
      <c r="G437" s="55">
        <f t="shared" si="42"/>
        <v>115.3</v>
      </c>
      <c r="H437" s="49" t="s">
        <v>276</v>
      </c>
      <c r="I437" s="38" t="s">
        <v>82</v>
      </c>
      <c r="J437" s="38">
        <v>139.94888220000001</v>
      </c>
      <c r="K437" s="38"/>
      <c r="L437" s="381"/>
      <c r="M437" s="268"/>
      <c r="N437" s="269"/>
      <c r="O437" s="269"/>
      <c r="P437" s="283"/>
      <c r="Q437" s="269"/>
      <c r="R437" s="269"/>
      <c r="S437" s="38"/>
      <c r="T437" s="38"/>
      <c r="U437" s="38"/>
      <c r="V437" s="38"/>
      <c r="W437" s="38"/>
      <c r="X437" s="38"/>
      <c r="Y437" s="38"/>
      <c r="Z437" s="38"/>
    </row>
    <row r="438" spans="1:26" s="339" customFormat="1" x14ac:dyDescent="0.25">
      <c r="A438" s="280">
        <f t="shared" si="40"/>
        <v>436</v>
      </c>
      <c r="B438" s="277"/>
      <c r="C438" s="52" t="str">
        <f t="shared" si="39"/>
        <v>6US99BGOLF</v>
      </c>
      <c r="D438" s="52"/>
      <c r="E438" s="53">
        <f>+'CALCULO TARIFAS CC '!$U$45</f>
        <v>0.82386810577067515</v>
      </c>
      <c r="F438" s="54">
        <f t="shared" si="41"/>
        <v>133.21279999999999</v>
      </c>
      <c r="G438" s="55">
        <f t="shared" si="42"/>
        <v>109.75</v>
      </c>
      <c r="H438" s="49" t="s">
        <v>276</v>
      </c>
      <c r="I438" s="38" t="s">
        <v>64</v>
      </c>
      <c r="J438" s="38">
        <v>133.21279150000001</v>
      </c>
      <c r="K438" s="38"/>
      <c r="L438" s="381"/>
      <c r="M438" s="268"/>
      <c r="N438" s="269"/>
      <c r="O438" s="269"/>
      <c r="P438" s="283"/>
      <c r="Q438" s="269"/>
      <c r="R438" s="269"/>
      <c r="S438" s="38"/>
      <c r="T438" s="38"/>
      <c r="U438" s="38"/>
      <c r="V438" s="38"/>
      <c r="W438" s="38"/>
      <c r="X438" s="38"/>
      <c r="Y438" s="38"/>
      <c r="Z438" s="38"/>
    </row>
    <row r="439" spans="1:26" s="339" customFormat="1" x14ac:dyDescent="0.25">
      <c r="A439" s="280">
        <f t="shared" si="40"/>
        <v>437</v>
      </c>
      <c r="B439" s="277"/>
      <c r="C439" s="52" t="str">
        <f t="shared" si="39"/>
        <v>6US99_BGOLFA</v>
      </c>
      <c r="D439" s="52"/>
      <c r="E439" s="53">
        <f>+'CALCULO TARIFAS CC '!$U$45</f>
        <v>0.82386810577067515</v>
      </c>
      <c r="F439" s="54">
        <f t="shared" si="41"/>
        <v>179.48869999999999</v>
      </c>
      <c r="G439" s="55">
        <f t="shared" si="42"/>
        <v>147.88</v>
      </c>
      <c r="H439" s="49" t="s">
        <v>276</v>
      </c>
      <c r="I439" s="38" t="s">
        <v>83</v>
      </c>
      <c r="J439" s="38">
        <v>179.48874269999999</v>
      </c>
      <c r="K439" s="38"/>
      <c r="L439" s="381"/>
      <c r="M439" s="268"/>
      <c r="N439" s="269"/>
      <c r="O439" s="269"/>
      <c r="P439" s="283"/>
      <c r="Q439" s="269"/>
      <c r="R439" s="269"/>
      <c r="S439" s="38"/>
      <c r="T439" s="38"/>
      <c r="U439" s="38"/>
      <c r="V439" s="38"/>
      <c r="W439" s="38"/>
      <c r="X439" s="38"/>
      <c r="Y439" s="38"/>
      <c r="Z439" s="38"/>
    </row>
    <row r="440" spans="1:26" s="339" customFormat="1" x14ac:dyDescent="0.25">
      <c r="A440" s="280">
        <f t="shared" si="40"/>
        <v>438</v>
      </c>
      <c r="B440" s="277"/>
      <c r="C440" s="52" t="str">
        <f t="shared" si="39"/>
        <v>6US99_CABIMA</v>
      </c>
      <c r="D440" s="52"/>
      <c r="E440" s="53">
        <f>+'CALCULO TARIFAS CC '!$U$45</f>
        <v>0.82386810577067515</v>
      </c>
      <c r="F440" s="54">
        <f t="shared" si="41"/>
        <v>254.58240000000001</v>
      </c>
      <c r="G440" s="55">
        <f t="shared" si="42"/>
        <v>209.74</v>
      </c>
      <c r="H440" s="49" t="s">
        <v>276</v>
      </c>
      <c r="I440" s="38" t="s">
        <v>84</v>
      </c>
      <c r="J440" s="38">
        <v>254.58238739999999</v>
      </c>
      <c r="K440" s="38"/>
      <c r="L440" s="381"/>
      <c r="M440" s="268"/>
      <c r="N440" s="269"/>
      <c r="O440" s="269"/>
      <c r="P440" s="283"/>
      <c r="Q440" s="269"/>
      <c r="R440" s="269"/>
      <c r="S440" s="38"/>
      <c r="T440" s="38"/>
      <c r="U440" s="38"/>
      <c r="V440" s="38"/>
      <c r="W440" s="38"/>
      <c r="X440" s="38"/>
      <c r="Y440" s="38"/>
      <c r="Z440" s="38"/>
    </row>
    <row r="441" spans="1:26" s="339" customFormat="1" x14ac:dyDescent="0.25">
      <c r="A441" s="280">
        <f t="shared" si="40"/>
        <v>439</v>
      </c>
      <c r="B441" s="277"/>
      <c r="C441" s="52" t="str">
        <f t="shared" si="39"/>
        <v>6US99_CENCAL</v>
      </c>
      <c r="D441" s="52"/>
      <c r="E441" s="53">
        <f>+'CALCULO TARIFAS CC '!$U$45</f>
        <v>0.82386810577067515</v>
      </c>
      <c r="F441" s="54">
        <f t="shared" si="41"/>
        <v>92.573800000000006</v>
      </c>
      <c r="G441" s="55">
        <f t="shared" si="42"/>
        <v>76.27</v>
      </c>
      <c r="H441" s="49" t="s">
        <v>276</v>
      </c>
      <c r="I441" s="38" t="s">
        <v>85</v>
      </c>
      <c r="J441" s="38">
        <v>92.573818399999993</v>
      </c>
      <c r="K441" s="38"/>
      <c r="L441" s="381"/>
      <c r="M441" s="268"/>
      <c r="N441" s="269"/>
      <c r="O441" s="269"/>
      <c r="P441" s="283"/>
      <c r="Q441" s="269"/>
      <c r="R441" s="269"/>
      <c r="S441" s="38"/>
      <c r="T441" s="38"/>
      <c r="U441" s="38"/>
      <c r="V441" s="38"/>
      <c r="W441" s="38"/>
      <c r="X441" s="38"/>
      <c r="Y441" s="38"/>
      <c r="Z441" s="38"/>
    </row>
    <row r="442" spans="1:26" s="339" customFormat="1" x14ac:dyDescent="0.25">
      <c r="A442" s="280">
        <f t="shared" si="40"/>
        <v>440</v>
      </c>
      <c r="B442" s="277"/>
      <c r="C442" s="52" t="str">
        <f t="shared" si="39"/>
        <v>6US99CHITR</v>
      </c>
      <c r="D442" s="52"/>
      <c r="E442" s="53">
        <f>+'CALCULO TARIFAS CC '!$U$45</f>
        <v>0.82386810577067515</v>
      </c>
      <c r="F442" s="54">
        <f t="shared" si="41"/>
        <v>100.1707</v>
      </c>
      <c r="G442" s="55">
        <f t="shared" si="42"/>
        <v>82.53</v>
      </c>
      <c r="H442" s="49" t="s">
        <v>276</v>
      </c>
      <c r="I442" s="38" t="s">
        <v>65</v>
      </c>
      <c r="J442" s="38">
        <v>100.1707373</v>
      </c>
      <c r="K442" s="38"/>
      <c r="L442" s="381"/>
      <c r="M442" s="268"/>
      <c r="N442" s="269"/>
      <c r="O442" s="269"/>
      <c r="P442" s="283"/>
      <c r="Q442" s="269"/>
      <c r="R442" s="269"/>
      <c r="S442" s="38"/>
      <c r="T442" s="38"/>
      <c r="U442" s="38"/>
      <c r="V442" s="38"/>
      <c r="W442" s="38"/>
      <c r="X442" s="38"/>
      <c r="Y442" s="38"/>
      <c r="Z442" s="38"/>
    </row>
    <row r="443" spans="1:26" s="339" customFormat="1" x14ac:dyDescent="0.25">
      <c r="A443" s="280">
        <f t="shared" si="40"/>
        <v>441</v>
      </c>
      <c r="B443" s="277"/>
      <c r="C443" s="52" t="str">
        <f t="shared" si="39"/>
        <v>6US99_COCO</v>
      </c>
      <c r="D443" s="52"/>
      <c r="E443" s="53">
        <f>+'CALCULO TARIFAS CC '!$U$45</f>
        <v>0.82386810577067515</v>
      </c>
      <c r="F443" s="54">
        <f t="shared" si="41"/>
        <v>178.8947</v>
      </c>
      <c r="G443" s="55">
        <f t="shared" si="42"/>
        <v>147.38999999999999</v>
      </c>
      <c r="H443" s="49" t="s">
        <v>276</v>
      </c>
      <c r="I443" s="38" t="s">
        <v>86</v>
      </c>
      <c r="J443" s="38">
        <v>178.8947359</v>
      </c>
      <c r="K443" s="38"/>
      <c r="L443" s="381"/>
      <c r="M443" s="268"/>
      <c r="N443" s="269"/>
      <c r="O443" s="269"/>
      <c r="P443" s="283"/>
      <c r="Q443" s="269"/>
      <c r="R443" s="269"/>
      <c r="S443" s="38"/>
      <c r="T443" s="38"/>
      <c r="U443" s="38"/>
      <c r="V443" s="38"/>
      <c r="W443" s="38"/>
      <c r="X443" s="38"/>
      <c r="Y443" s="38"/>
      <c r="Z443" s="38"/>
    </row>
    <row r="444" spans="1:26" s="345" customFormat="1" x14ac:dyDescent="0.25">
      <c r="A444" s="280">
        <f t="shared" si="40"/>
        <v>442</v>
      </c>
      <c r="B444" s="277"/>
      <c r="C444" s="52" t="str">
        <f t="shared" si="39"/>
        <v>6US99COL2K</v>
      </c>
      <c r="D444" s="52"/>
      <c r="E444" s="53">
        <f>+'CALCULO TARIFAS CC '!$U$45</f>
        <v>0.82386810577067515</v>
      </c>
      <c r="F444" s="54">
        <f t="shared" ref="F444:F509" si="43">ROUND(J444,4)</f>
        <v>124.57080000000001</v>
      </c>
      <c r="G444" s="55">
        <f t="shared" ref="G444:G509" si="44">+ROUND(F444*E444,2)</f>
        <v>102.63</v>
      </c>
      <c r="H444" s="49" t="s">
        <v>276</v>
      </c>
      <c r="I444" s="38" t="s">
        <v>66</v>
      </c>
      <c r="J444" s="38">
        <v>124.5708128</v>
      </c>
      <c r="K444" s="38"/>
      <c r="L444" s="381"/>
      <c r="M444" s="268"/>
      <c r="N444" s="269"/>
      <c r="O444" s="269"/>
      <c r="P444" s="283"/>
      <c r="Q444" s="269"/>
      <c r="R444" s="269"/>
      <c r="S444" s="38"/>
      <c r="T444" s="38"/>
      <c r="U444" s="38"/>
      <c r="V444" s="38"/>
      <c r="W444" s="38"/>
      <c r="X444" s="38"/>
      <c r="Y444" s="38"/>
      <c r="Z444" s="38"/>
    </row>
    <row r="445" spans="1:26" s="345" customFormat="1" x14ac:dyDescent="0.25">
      <c r="A445" s="280">
        <f t="shared" si="40"/>
        <v>443</v>
      </c>
      <c r="B445" s="277"/>
      <c r="C445" s="52" t="str">
        <f t="shared" si="39"/>
        <v>6US99_COLMAR</v>
      </c>
      <c r="D445" s="52"/>
      <c r="E445" s="53">
        <f>+'CALCULO TARIFAS CC '!$U$45</f>
        <v>0.82386810577067515</v>
      </c>
      <c r="F445" s="54">
        <f t="shared" si="43"/>
        <v>52.57</v>
      </c>
      <c r="G445" s="55">
        <f t="shared" si="44"/>
        <v>43.31</v>
      </c>
      <c r="H445" s="49" t="s">
        <v>276</v>
      </c>
      <c r="I445" s="38" t="s">
        <v>87</v>
      </c>
      <c r="J445" s="38">
        <v>52.5700158</v>
      </c>
      <c r="K445" s="38"/>
      <c r="L445" s="381"/>
      <c r="M445" s="268"/>
      <c r="N445" s="269"/>
      <c r="O445" s="269"/>
      <c r="P445" s="283"/>
      <c r="Q445" s="269"/>
      <c r="R445" s="269"/>
      <c r="S445" s="38"/>
      <c r="T445" s="38"/>
      <c r="U445" s="38"/>
      <c r="V445" s="38"/>
      <c r="W445" s="38"/>
      <c r="X445" s="38"/>
      <c r="Y445" s="38"/>
      <c r="Z445" s="38"/>
    </row>
    <row r="446" spans="1:26" s="345" customFormat="1" x14ac:dyDescent="0.25">
      <c r="A446" s="280">
        <f t="shared" si="40"/>
        <v>444</v>
      </c>
      <c r="B446" s="277"/>
      <c r="C446" s="52" t="str">
        <f t="shared" si="39"/>
        <v>6US99_CONDA</v>
      </c>
      <c r="D446" s="52"/>
      <c r="E446" s="53">
        <f>+'CALCULO TARIFAS CC '!$U$45</f>
        <v>0.82386810577067515</v>
      </c>
      <c r="F446" s="54">
        <f t="shared" si="43"/>
        <v>141.89279999999999</v>
      </c>
      <c r="G446" s="55">
        <f t="shared" si="44"/>
        <v>116.9</v>
      </c>
      <c r="H446" s="49" t="s">
        <v>276</v>
      </c>
      <c r="I446" s="38" t="s">
        <v>88</v>
      </c>
      <c r="J446" s="38">
        <v>141.8927583</v>
      </c>
      <c r="K446" s="38"/>
      <c r="L446" s="381"/>
      <c r="M446" s="268"/>
      <c r="N446" s="269"/>
      <c r="O446" s="269"/>
      <c r="P446" s="283"/>
      <c r="Q446" s="269"/>
      <c r="R446" s="269"/>
      <c r="S446" s="38"/>
      <c r="T446" s="38"/>
      <c r="U446" s="38"/>
      <c r="V446" s="38"/>
      <c r="W446" s="38"/>
      <c r="X446" s="38"/>
      <c r="Y446" s="38"/>
      <c r="Z446" s="38"/>
    </row>
    <row r="447" spans="1:26" s="345" customFormat="1" x14ac:dyDescent="0.25">
      <c r="A447" s="280">
        <f t="shared" si="40"/>
        <v>445</v>
      </c>
      <c r="B447" s="277"/>
      <c r="C447" s="52" t="str">
        <f t="shared" si="39"/>
        <v>6US99_CORON</v>
      </c>
      <c r="D447" s="52"/>
      <c r="E447" s="53">
        <f>+'CALCULO TARIFAS CC '!$U$45</f>
        <v>0.82386810577067515</v>
      </c>
      <c r="F447" s="54">
        <f t="shared" si="43"/>
        <v>105.65519999999999</v>
      </c>
      <c r="G447" s="55">
        <f t="shared" si="44"/>
        <v>87.05</v>
      </c>
      <c r="H447" s="49" t="s">
        <v>276</v>
      </c>
      <c r="I447" s="38" t="s">
        <v>89</v>
      </c>
      <c r="J447" s="38">
        <v>105.655171</v>
      </c>
      <c r="K447" s="38"/>
      <c r="L447" s="381"/>
      <c r="M447" s="268"/>
      <c r="N447" s="269"/>
      <c r="O447" s="269"/>
      <c r="P447" s="283"/>
      <c r="Q447" s="269"/>
      <c r="R447" s="269"/>
      <c r="S447" s="38"/>
      <c r="T447" s="38"/>
      <c r="U447" s="38"/>
      <c r="V447" s="38"/>
      <c r="W447" s="38"/>
      <c r="X447" s="38"/>
      <c r="Y447" s="38"/>
      <c r="Z447" s="38"/>
    </row>
    <row r="448" spans="1:26" s="345" customFormat="1" x14ac:dyDescent="0.25">
      <c r="A448" s="280">
        <f t="shared" si="40"/>
        <v>446</v>
      </c>
      <c r="B448" s="277"/>
      <c r="C448" s="52" t="str">
        <f t="shared" si="39"/>
        <v>6US99COSTE</v>
      </c>
      <c r="D448" s="52"/>
      <c r="E448" s="53">
        <f>+'CALCULO TARIFAS CC '!$U$45</f>
        <v>0.82386810577067515</v>
      </c>
      <c r="F448" s="54">
        <f t="shared" si="43"/>
        <v>136.5008</v>
      </c>
      <c r="G448" s="55">
        <f t="shared" si="44"/>
        <v>112.46</v>
      </c>
      <c r="H448" s="49" t="s">
        <v>276</v>
      </c>
      <c r="I448" s="38" t="s">
        <v>67</v>
      </c>
      <c r="J448" s="38">
        <v>136.50078629999999</v>
      </c>
      <c r="K448" s="38"/>
      <c r="L448" s="381"/>
      <c r="M448" s="268"/>
      <c r="N448" s="269"/>
      <c r="O448" s="269"/>
      <c r="P448" s="283"/>
      <c r="Q448" s="269"/>
      <c r="R448" s="269"/>
      <c r="S448" s="38"/>
      <c r="T448" s="38"/>
      <c r="U448" s="38"/>
      <c r="V448" s="38"/>
      <c r="W448" s="38"/>
      <c r="X448" s="38"/>
      <c r="Y448" s="38"/>
      <c r="Z448" s="38"/>
    </row>
    <row r="449" spans="1:26" s="345" customFormat="1" x14ac:dyDescent="0.25">
      <c r="A449" s="280">
        <f t="shared" si="40"/>
        <v>447</v>
      </c>
      <c r="B449" s="277"/>
      <c r="C449" s="52" t="str">
        <f t="shared" si="39"/>
        <v>6US99DONA</v>
      </c>
      <c r="D449" s="52"/>
      <c r="E449" s="53">
        <f>+'CALCULO TARIFAS CC '!$U$45</f>
        <v>0.82386810577067515</v>
      </c>
      <c r="F449" s="54">
        <f t="shared" si="43"/>
        <v>137.47550000000001</v>
      </c>
      <c r="G449" s="55">
        <f t="shared" si="44"/>
        <v>113.26</v>
      </c>
      <c r="H449" s="49" t="s">
        <v>276</v>
      </c>
      <c r="I449" s="38" t="s">
        <v>68</v>
      </c>
      <c r="J449" s="38">
        <v>137.4755351</v>
      </c>
      <c r="K449" s="38"/>
      <c r="L449" s="381"/>
      <c r="M449" s="268"/>
      <c r="N449" s="269"/>
      <c r="O449" s="269"/>
      <c r="P449" s="283"/>
      <c r="Q449" s="269"/>
      <c r="R449" s="269"/>
      <c r="S449" s="38"/>
      <c r="T449" s="38"/>
      <c r="U449" s="38"/>
      <c r="V449" s="38"/>
      <c r="W449" s="38"/>
      <c r="X449" s="38"/>
      <c r="Y449" s="38"/>
      <c r="Z449" s="38"/>
    </row>
    <row r="450" spans="1:26" s="345" customFormat="1" x14ac:dyDescent="0.25">
      <c r="A450" s="280">
        <f t="shared" si="40"/>
        <v>448</v>
      </c>
      <c r="B450" s="277"/>
      <c r="C450" s="52" t="str">
        <f t="shared" si="39"/>
        <v>6US99_DORADO</v>
      </c>
      <c r="D450" s="52"/>
      <c r="E450" s="53">
        <f>+'CALCULO TARIFAS CC '!$U$45</f>
        <v>0.82386810577067515</v>
      </c>
      <c r="F450" s="54">
        <f t="shared" si="43"/>
        <v>143.15629999999999</v>
      </c>
      <c r="G450" s="55">
        <f t="shared" si="44"/>
        <v>117.94</v>
      </c>
      <c r="H450" s="49" t="s">
        <v>276</v>
      </c>
      <c r="I450" s="38" t="s">
        <v>90</v>
      </c>
      <c r="J450" s="38">
        <v>143.1562888</v>
      </c>
      <c r="K450" s="38"/>
      <c r="L450" s="381"/>
      <c r="M450" s="268"/>
      <c r="N450" s="269"/>
      <c r="O450" s="269"/>
      <c r="P450" s="283"/>
      <c r="Q450" s="269"/>
      <c r="R450" s="269"/>
      <c r="S450" s="38"/>
      <c r="T450" s="38"/>
      <c r="U450" s="38"/>
      <c r="V450" s="38"/>
      <c r="W450" s="38"/>
      <c r="X450" s="38"/>
      <c r="Y450" s="38"/>
      <c r="Z450" s="38"/>
    </row>
    <row r="451" spans="1:26" s="371" customFormat="1" x14ac:dyDescent="0.25">
      <c r="A451" s="280">
        <f t="shared" si="40"/>
        <v>449</v>
      </c>
      <c r="B451" s="277"/>
      <c r="C451" s="52" t="str">
        <f t="shared" ref="C451:C525" si="45">I451</f>
        <v>6US99FARO</v>
      </c>
      <c r="D451" s="52"/>
      <c r="E451" s="53">
        <f>+'CALCULO TARIFAS CC '!$U$45</f>
        <v>0.82386810577067515</v>
      </c>
      <c r="F451" s="54">
        <f t="shared" ref="F451:F481" si="46">ROUND(J451,4)</f>
        <v>91.791799999999995</v>
      </c>
      <c r="G451" s="55">
        <f t="shared" ref="G451:G481" si="47">+ROUND(F451*E451,2)</f>
        <v>75.62</v>
      </c>
      <c r="H451" s="49" t="s">
        <v>276</v>
      </c>
      <c r="I451" s="38" t="s">
        <v>69</v>
      </c>
      <c r="J451" s="38">
        <v>91.791820700000002</v>
      </c>
      <c r="K451" s="38"/>
      <c r="L451" s="381"/>
      <c r="M451" s="268"/>
      <c r="N451" s="269"/>
      <c r="O451" s="269"/>
      <c r="P451" s="283"/>
      <c r="Q451" s="269"/>
      <c r="R451" s="269"/>
      <c r="S451" s="38"/>
      <c r="T451" s="38"/>
      <c r="U451" s="38"/>
      <c r="V451" s="38"/>
      <c r="W451" s="38"/>
      <c r="X451" s="38"/>
      <c r="Y451" s="38"/>
      <c r="Z451" s="38"/>
    </row>
    <row r="452" spans="1:26" s="371" customFormat="1" x14ac:dyDescent="0.25">
      <c r="A452" s="280">
        <f t="shared" si="40"/>
        <v>450</v>
      </c>
      <c r="B452" s="277"/>
      <c r="C452" s="52" t="str">
        <f t="shared" si="45"/>
        <v>6US99_MANAN</v>
      </c>
      <c r="D452" s="52"/>
      <c r="E452" s="53">
        <f>+'CALCULO TARIFAS CC '!$U$45</f>
        <v>0.82386810577067515</v>
      </c>
      <c r="F452" s="54">
        <f t="shared" si="46"/>
        <v>184.23570000000001</v>
      </c>
      <c r="G452" s="55">
        <f t="shared" si="47"/>
        <v>151.79</v>
      </c>
      <c r="H452" s="49" t="s">
        <v>276</v>
      </c>
      <c r="I452" s="38" t="s">
        <v>91</v>
      </c>
      <c r="J452" s="38">
        <v>184.23566829999999</v>
      </c>
      <c r="K452" s="38"/>
      <c r="L452" s="381"/>
      <c r="M452" s="268"/>
      <c r="N452" s="269"/>
      <c r="O452" s="269"/>
      <c r="P452" s="283"/>
      <c r="Q452" s="269"/>
      <c r="R452" s="269"/>
      <c r="S452" s="38"/>
      <c r="T452" s="38"/>
      <c r="U452" s="38"/>
      <c r="V452" s="38"/>
      <c r="W452" s="38"/>
      <c r="X452" s="38"/>
      <c r="Y452" s="38"/>
      <c r="Z452" s="38"/>
    </row>
    <row r="453" spans="1:26" s="371" customFormat="1" x14ac:dyDescent="0.25">
      <c r="A453" s="280">
        <f t="shared" si="40"/>
        <v>451</v>
      </c>
      <c r="B453" s="277"/>
      <c r="C453" s="52" t="str">
        <f t="shared" si="45"/>
        <v>6US99_MSONA</v>
      </c>
      <c r="D453" s="52"/>
      <c r="E453" s="53">
        <f>+'CALCULO TARIFAS CC '!$U$45</f>
        <v>0.82386810577067515</v>
      </c>
      <c r="F453" s="54">
        <f t="shared" si="46"/>
        <v>80.191800000000001</v>
      </c>
      <c r="G453" s="55">
        <f t="shared" si="47"/>
        <v>66.069999999999993</v>
      </c>
      <c r="H453" s="49" t="s">
        <v>276</v>
      </c>
      <c r="I453" s="38" t="s">
        <v>92</v>
      </c>
      <c r="J453" s="38">
        <v>80.191810099999998</v>
      </c>
      <c r="K453" s="38"/>
      <c r="L453" s="381"/>
      <c r="M453" s="268"/>
      <c r="N453" s="269"/>
      <c r="O453" s="269"/>
      <c r="P453" s="283"/>
      <c r="Q453" s="269"/>
      <c r="R453" s="269"/>
      <c r="S453" s="38"/>
      <c r="T453" s="38"/>
      <c r="U453" s="38"/>
      <c r="V453" s="38"/>
      <c r="W453" s="38"/>
      <c r="X453" s="38"/>
      <c r="Y453" s="38"/>
      <c r="Z453" s="38"/>
    </row>
    <row r="454" spans="1:26" s="371" customFormat="1" x14ac:dyDescent="0.25">
      <c r="A454" s="280">
        <f t="shared" si="40"/>
        <v>452</v>
      </c>
      <c r="B454" s="277"/>
      <c r="C454" s="52" t="str">
        <f t="shared" si="45"/>
        <v>6US99_ODGCHO</v>
      </c>
      <c r="D454" s="52"/>
      <c r="E454" s="53">
        <f>+'CALCULO TARIFAS CC '!$U$45</f>
        <v>0.82386810577067515</v>
      </c>
      <c r="F454" s="54">
        <f t="shared" si="46"/>
        <v>135.13509999999999</v>
      </c>
      <c r="G454" s="55">
        <f t="shared" si="47"/>
        <v>111.33</v>
      </c>
      <c r="H454" s="49" t="s">
        <v>276</v>
      </c>
      <c r="I454" s="38" t="s">
        <v>93</v>
      </c>
      <c r="J454" s="38">
        <v>135.13512829999999</v>
      </c>
      <c r="K454" s="38"/>
      <c r="L454" s="381"/>
      <c r="M454" s="268"/>
      <c r="N454" s="269"/>
      <c r="O454" s="269"/>
      <c r="P454" s="283"/>
      <c r="Q454" s="269"/>
      <c r="R454" s="269"/>
      <c r="S454" s="38"/>
      <c r="T454" s="38"/>
      <c r="U454" s="38"/>
      <c r="V454" s="38"/>
      <c r="W454" s="38"/>
      <c r="X454" s="38"/>
      <c r="Y454" s="38"/>
      <c r="Z454" s="38"/>
    </row>
    <row r="455" spans="1:26" s="371" customFormat="1" x14ac:dyDescent="0.25">
      <c r="A455" s="280">
        <f t="shared" si="40"/>
        <v>453</v>
      </c>
      <c r="B455" s="277"/>
      <c r="C455" s="52" t="str">
        <f t="shared" si="45"/>
        <v>6US99PENON</v>
      </c>
      <c r="D455" s="52"/>
      <c r="E455" s="53">
        <f>+'CALCULO TARIFAS CC '!$U$45</f>
        <v>0.82386810577067515</v>
      </c>
      <c r="F455" s="54">
        <f t="shared" si="46"/>
        <v>108.1296</v>
      </c>
      <c r="G455" s="55">
        <f t="shared" si="47"/>
        <v>89.08</v>
      </c>
      <c r="H455" s="49" t="s">
        <v>276</v>
      </c>
      <c r="I455" s="38" t="s">
        <v>70</v>
      </c>
      <c r="J455" s="38">
        <v>108.12959499999999</v>
      </c>
      <c r="K455" s="38"/>
      <c r="L455" s="381"/>
      <c r="M455" s="268"/>
      <c r="N455" s="269"/>
      <c r="O455" s="269"/>
      <c r="P455" s="283"/>
      <c r="Q455" s="269"/>
      <c r="R455" s="269"/>
      <c r="S455" s="38"/>
      <c r="T455" s="38"/>
      <c r="U455" s="38"/>
      <c r="V455" s="38"/>
      <c r="W455" s="38"/>
      <c r="X455" s="38"/>
      <c r="Y455" s="38"/>
      <c r="Z455" s="38"/>
    </row>
    <row r="456" spans="1:26" s="371" customFormat="1" x14ac:dyDescent="0.25">
      <c r="A456" s="280">
        <f t="shared" si="40"/>
        <v>454</v>
      </c>
      <c r="B456" s="277"/>
      <c r="C456" s="52" t="str">
        <f t="shared" si="45"/>
        <v>6US99PORTO</v>
      </c>
      <c r="D456" s="52"/>
      <c r="E456" s="53">
        <f>+'CALCULO TARIFAS CC '!$U$45</f>
        <v>0.82386810577067515</v>
      </c>
      <c r="F456" s="54">
        <f t="shared" si="46"/>
        <v>160.3135</v>
      </c>
      <c r="G456" s="55">
        <f t="shared" si="47"/>
        <v>132.08000000000001</v>
      </c>
      <c r="H456" s="49" t="s">
        <v>276</v>
      </c>
      <c r="I456" s="38" t="s">
        <v>71</v>
      </c>
      <c r="J456" s="38">
        <v>160.31350209999999</v>
      </c>
      <c r="K456" s="38"/>
      <c r="L456" s="381"/>
      <c r="M456" s="268"/>
      <c r="N456" s="269"/>
      <c r="O456" s="269"/>
      <c r="P456" s="283"/>
      <c r="Q456" s="269"/>
      <c r="R456" s="269"/>
      <c r="S456" s="38"/>
      <c r="T456" s="38"/>
      <c r="U456" s="38"/>
      <c r="V456" s="38"/>
      <c r="W456" s="38"/>
      <c r="X456" s="38"/>
      <c r="Y456" s="38"/>
      <c r="Z456" s="38"/>
    </row>
    <row r="457" spans="1:26" s="371" customFormat="1" x14ac:dyDescent="0.25">
      <c r="A457" s="280">
        <f t="shared" si="40"/>
        <v>455</v>
      </c>
      <c r="B457" s="277"/>
      <c r="C457" s="52" t="str">
        <f t="shared" si="45"/>
        <v>6US99PTAPA</v>
      </c>
      <c r="D457" s="52"/>
      <c r="E457" s="53">
        <f>+'CALCULO TARIFAS CC '!$U$45</f>
        <v>0.82386810577067515</v>
      </c>
      <c r="F457" s="54">
        <f t="shared" si="46"/>
        <v>187.803</v>
      </c>
      <c r="G457" s="55">
        <f t="shared" si="47"/>
        <v>154.72</v>
      </c>
      <c r="H457" s="49" t="s">
        <v>276</v>
      </c>
      <c r="I457" s="38" t="s">
        <v>72</v>
      </c>
      <c r="J457" s="38">
        <v>187.80298099999999</v>
      </c>
      <c r="K457" s="38"/>
      <c r="L457" s="381"/>
      <c r="M457" s="268"/>
      <c r="N457" s="269"/>
      <c r="O457" s="269"/>
      <c r="P457" s="283"/>
      <c r="Q457" s="269"/>
      <c r="R457" s="269"/>
      <c r="S457" s="38"/>
      <c r="T457" s="38"/>
      <c r="U457" s="38"/>
      <c r="V457" s="38"/>
      <c r="W457" s="38"/>
      <c r="X457" s="38"/>
      <c r="Y457" s="38"/>
      <c r="Z457" s="38"/>
    </row>
    <row r="458" spans="1:26" s="371" customFormat="1" x14ac:dyDescent="0.25">
      <c r="A458" s="280">
        <f t="shared" si="40"/>
        <v>456</v>
      </c>
      <c r="B458" s="277"/>
      <c r="C458" s="52" t="str">
        <f t="shared" si="45"/>
        <v>6US99_PTOESC</v>
      </c>
      <c r="D458" s="52"/>
      <c r="E458" s="53">
        <f>+'CALCULO TARIFAS CC '!$U$45</f>
        <v>0.82386810577067515</v>
      </c>
      <c r="F458" s="54">
        <f t="shared" si="46"/>
        <v>167.42160000000001</v>
      </c>
      <c r="G458" s="55">
        <f t="shared" si="47"/>
        <v>137.93</v>
      </c>
      <c r="H458" s="49" t="s">
        <v>276</v>
      </c>
      <c r="I458" s="38" t="s">
        <v>94</v>
      </c>
      <c r="J458" s="38">
        <v>167.4215615</v>
      </c>
      <c r="K458" s="38"/>
      <c r="L458" s="381"/>
      <c r="M458" s="268"/>
      <c r="N458" s="269"/>
      <c r="O458" s="269"/>
      <c r="P458" s="283"/>
      <c r="Q458" s="269"/>
      <c r="R458" s="269"/>
      <c r="S458" s="38"/>
      <c r="T458" s="38"/>
      <c r="U458" s="38"/>
      <c r="V458" s="38"/>
      <c r="W458" s="38"/>
      <c r="X458" s="38"/>
      <c r="Y458" s="38"/>
      <c r="Z458" s="38"/>
    </row>
    <row r="459" spans="1:26" s="371" customFormat="1" x14ac:dyDescent="0.25">
      <c r="A459" s="280">
        <f t="shared" si="40"/>
        <v>457</v>
      </c>
      <c r="B459" s="277"/>
      <c r="C459" s="52" t="str">
        <f t="shared" si="45"/>
        <v>6US99_PUEBLO</v>
      </c>
      <c r="D459" s="52"/>
      <c r="E459" s="53">
        <f>+'CALCULO TARIFAS CC '!$U$45</f>
        <v>0.82386810577067515</v>
      </c>
      <c r="F459" s="54">
        <f t="shared" si="46"/>
        <v>171.97640000000001</v>
      </c>
      <c r="G459" s="55">
        <f t="shared" si="47"/>
        <v>141.69</v>
      </c>
      <c r="H459" s="49" t="s">
        <v>276</v>
      </c>
      <c r="I459" s="38" t="s">
        <v>95</v>
      </c>
      <c r="J459" s="38">
        <v>171.97638470000001</v>
      </c>
      <c r="K459" s="38"/>
      <c r="L459" s="381"/>
      <c r="M459" s="268"/>
      <c r="N459" s="269"/>
      <c r="O459" s="269"/>
      <c r="P459" s="283"/>
      <c r="Q459" s="269"/>
      <c r="R459" s="269"/>
      <c r="S459" s="38"/>
      <c r="T459" s="38"/>
      <c r="U459" s="38"/>
      <c r="V459" s="38"/>
      <c r="W459" s="38"/>
      <c r="X459" s="38"/>
      <c r="Y459" s="38"/>
      <c r="Z459" s="38"/>
    </row>
    <row r="460" spans="1:26" s="371" customFormat="1" x14ac:dyDescent="0.25">
      <c r="A460" s="280">
        <f t="shared" si="40"/>
        <v>458</v>
      </c>
      <c r="B460" s="277"/>
      <c r="C460" s="52" t="str">
        <f t="shared" si="45"/>
        <v>6US99PZACA</v>
      </c>
      <c r="D460" s="52"/>
      <c r="E460" s="53">
        <f>+'CALCULO TARIFAS CC '!$U$45</f>
        <v>0.82386810577067515</v>
      </c>
      <c r="F460" s="54">
        <f t="shared" si="46"/>
        <v>66.7393</v>
      </c>
      <c r="G460" s="55">
        <f t="shared" si="47"/>
        <v>54.98</v>
      </c>
      <c r="H460" s="49" t="s">
        <v>276</v>
      </c>
      <c r="I460" s="38" t="s">
        <v>73</v>
      </c>
      <c r="J460" s="38">
        <v>66.739257300000006</v>
      </c>
      <c r="K460" s="38"/>
      <c r="L460" s="381"/>
      <c r="M460" s="268"/>
      <c r="N460" s="269"/>
      <c r="O460" s="269"/>
      <c r="P460" s="283"/>
      <c r="Q460" s="269"/>
      <c r="R460" s="269"/>
      <c r="S460" s="38"/>
      <c r="T460" s="38"/>
      <c r="U460" s="38"/>
      <c r="V460" s="38"/>
      <c r="W460" s="38"/>
      <c r="X460" s="38"/>
      <c r="Y460" s="38"/>
      <c r="Z460" s="38"/>
    </row>
    <row r="461" spans="1:26" s="371" customFormat="1" x14ac:dyDescent="0.25">
      <c r="A461" s="280">
        <f t="shared" si="40"/>
        <v>459</v>
      </c>
      <c r="B461" s="277"/>
      <c r="C461" s="52" t="str">
        <f t="shared" si="45"/>
        <v>6US99PZAIT</v>
      </c>
      <c r="D461" s="52"/>
      <c r="E461" s="53">
        <f>+'CALCULO TARIFAS CC '!$U$45</f>
        <v>0.82386810577067515</v>
      </c>
      <c r="F461" s="54">
        <f t="shared" si="46"/>
        <v>105.256</v>
      </c>
      <c r="G461" s="55">
        <f t="shared" si="47"/>
        <v>86.72</v>
      </c>
      <c r="H461" s="49" t="s">
        <v>276</v>
      </c>
      <c r="I461" s="38" t="s">
        <v>74</v>
      </c>
      <c r="J461" s="38">
        <v>105.2559854</v>
      </c>
      <c r="K461" s="38"/>
      <c r="L461" s="381"/>
      <c r="M461" s="268"/>
      <c r="N461" s="269"/>
      <c r="O461" s="269"/>
      <c r="P461" s="283"/>
      <c r="Q461" s="269"/>
      <c r="R461" s="269"/>
      <c r="S461" s="38"/>
      <c r="T461" s="38"/>
      <c r="U461" s="38"/>
      <c r="V461" s="38"/>
      <c r="W461" s="38"/>
      <c r="X461" s="38"/>
      <c r="Y461" s="38"/>
      <c r="Z461" s="38"/>
    </row>
    <row r="462" spans="1:26" s="371" customFormat="1" x14ac:dyDescent="0.25">
      <c r="A462" s="280">
        <f t="shared" si="40"/>
        <v>460</v>
      </c>
      <c r="B462" s="277"/>
      <c r="C462" s="52" t="str">
        <f t="shared" si="45"/>
        <v>6US99PZATO</v>
      </c>
      <c r="D462" s="52"/>
      <c r="E462" s="53">
        <f>+'CALCULO TARIFAS CC '!$U$45</f>
        <v>0.82386810577067515</v>
      </c>
      <c r="F462" s="54">
        <f t="shared" si="46"/>
        <v>163.53489999999999</v>
      </c>
      <c r="G462" s="55">
        <f t="shared" si="47"/>
        <v>134.72999999999999</v>
      </c>
      <c r="H462" s="49" t="s">
        <v>276</v>
      </c>
      <c r="I462" s="38" t="s">
        <v>75</v>
      </c>
      <c r="J462" s="38">
        <v>163.53486670000001</v>
      </c>
      <c r="K462" s="38"/>
      <c r="L462" s="381"/>
      <c r="M462" s="268"/>
      <c r="N462" s="269"/>
      <c r="O462" s="269"/>
      <c r="P462" s="283"/>
      <c r="Q462" s="269"/>
      <c r="R462" s="269"/>
      <c r="S462" s="38"/>
      <c r="T462" s="38"/>
      <c r="U462" s="38"/>
      <c r="V462" s="38"/>
      <c r="W462" s="38"/>
      <c r="X462" s="38"/>
      <c r="Y462" s="38"/>
      <c r="Z462" s="38"/>
    </row>
    <row r="463" spans="1:26" s="371" customFormat="1" x14ac:dyDescent="0.25">
      <c r="A463" s="280">
        <f t="shared" si="40"/>
        <v>461</v>
      </c>
      <c r="B463" s="277"/>
      <c r="C463" s="52" t="str">
        <f t="shared" si="45"/>
        <v>6US99_RHATO</v>
      </c>
      <c r="D463" s="52"/>
      <c r="E463" s="53">
        <f>+'CALCULO TARIFAS CC '!$U$45</f>
        <v>0.82386810577067515</v>
      </c>
      <c r="F463" s="54">
        <f t="shared" si="46"/>
        <v>161.28540000000001</v>
      </c>
      <c r="G463" s="55">
        <f t="shared" si="47"/>
        <v>132.88</v>
      </c>
      <c r="H463" s="49" t="s">
        <v>276</v>
      </c>
      <c r="I463" s="38" t="s">
        <v>96</v>
      </c>
      <c r="J463" s="38">
        <v>161.2854064</v>
      </c>
      <c r="K463" s="38"/>
      <c r="L463" s="381"/>
      <c r="M463" s="268"/>
      <c r="N463" s="269"/>
      <c r="O463" s="269"/>
      <c r="P463" s="283"/>
      <c r="Q463" s="269"/>
      <c r="R463" s="269"/>
      <c r="S463" s="38"/>
      <c r="T463" s="38"/>
      <c r="U463" s="38"/>
      <c r="V463" s="38"/>
      <c r="W463" s="38"/>
      <c r="X463" s="38"/>
      <c r="Y463" s="38"/>
      <c r="Z463" s="38"/>
    </row>
    <row r="464" spans="1:26" s="371" customFormat="1" x14ac:dyDescent="0.25">
      <c r="A464" s="280">
        <f t="shared" si="40"/>
        <v>462</v>
      </c>
      <c r="B464" s="277"/>
      <c r="C464" s="52" t="str">
        <f t="shared" si="45"/>
        <v>6US99_RMAR</v>
      </c>
      <c r="D464" s="52"/>
      <c r="E464" s="53">
        <f>+'CALCULO TARIFAS CC '!$U$45</f>
        <v>0.82386810577067515</v>
      </c>
      <c r="F464" s="54">
        <f t="shared" si="46"/>
        <v>380.45139999999998</v>
      </c>
      <c r="G464" s="55">
        <f t="shared" si="47"/>
        <v>313.44</v>
      </c>
      <c r="H464" s="49" t="s">
        <v>276</v>
      </c>
      <c r="I464" s="38" t="s">
        <v>97</v>
      </c>
      <c r="J464" s="38">
        <v>380.45140120000002</v>
      </c>
      <c r="K464" s="38"/>
      <c r="L464" s="381"/>
      <c r="M464" s="268"/>
      <c r="N464" s="269"/>
      <c r="O464" s="269"/>
      <c r="P464" s="283"/>
      <c r="Q464" s="269"/>
      <c r="R464" s="269"/>
      <c r="S464" s="38"/>
      <c r="T464" s="38"/>
      <c r="U464" s="38"/>
      <c r="V464" s="38"/>
      <c r="W464" s="38"/>
      <c r="X464" s="38"/>
      <c r="Y464" s="38"/>
      <c r="Z464" s="38"/>
    </row>
    <row r="465" spans="1:26" s="371" customFormat="1" x14ac:dyDescent="0.25">
      <c r="A465" s="280">
        <f t="shared" si="40"/>
        <v>463</v>
      </c>
      <c r="B465" s="277"/>
      <c r="C465" s="52" t="str">
        <f t="shared" si="45"/>
        <v>6US99_SABANI</v>
      </c>
      <c r="D465" s="52"/>
      <c r="E465" s="53">
        <f>+'CALCULO TARIFAS CC '!$U$45</f>
        <v>0.82386810577067515</v>
      </c>
      <c r="F465" s="54">
        <f t="shared" si="46"/>
        <v>122.3433</v>
      </c>
      <c r="G465" s="55">
        <f t="shared" si="47"/>
        <v>100.79</v>
      </c>
      <c r="H465" s="49" t="s">
        <v>276</v>
      </c>
      <c r="I465" s="38" t="s">
        <v>98</v>
      </c>
      <c r="J465" s="38">
        <v>122.343293</v>
      </c>
      <c r="K465" s="38"/>
      <c r="L465" s="381"/>
      <c r="M465" s="268"/>
      <c r="N465" s="269"/>
      <c r="O465" s="269"/>
      <c r="P465" s="283"/>
      <c r="Q465" s="269"/>
      <c r="R465" s="269"/>
      <c r="S465" s="38"/>
      <c r="T465" s="38"/>
      <c r="U465" s="38"/>
      <c r="V465" s="38"/>
      <c r="W465" s="38"/>
      <c r="X465" s="38"/>
      <c r="Y465" s="38"/>
      <c r="Z465" s="38"/>
    </row>
    <row r="466" spans="1:26" s="371" customFormat="1" x14ac:dyDescent="0.25">
      <c r="A466" s="280">
        <f t="shared" si="40"/>
        <v>464</v>
      </c>
      <c r="B466" s="277"/>
      <c r="C466" s="52" t="str">
        <f t="shared" si="45"/>
        <v>6US99SANFR</v>
      </c>
      <c r="D466" s="52"/>
      <c r="E466" s="53">
        <f>+'CALCULO TARIFAS CC '!$U$45</f>
        <v>0.82386810577067515</v>
      </c>
      <c r="F466" s="54">
        <f t="shared" si="46"/>
        <v>132.65950000000001</v>
      </c>
      <c r="G466" s="55">
        <f t="shared" si="47"/>
        <v>109.29</v>
      </c>
      <c r="H466" s="49" t="s">
        <v>276</v>
      </c>
      <c r="I466" s="38" t="s">
        <v>76</v>
      </c>
      <c r="J466" s="38">
        <v>132.65952730000001</v>
      </c>
      <c r="K466" s="38"/>
      <c r="L466" s="381"/>
      <c r="M466" s="268"/>
      <c r="N466" s="269"/>
      <c r="O466" s="269"/>
      <c r="P466" s="283"/>
      <c r="Q466" s="269"/>
      <c r="R466" s="269"/>
      <c r="S466" s="38"/>
      <c r="T466" s="38"/>
      <c r="U466" s="38"/>
      <c r="V466" s="38"/>
      <c r="W466" s="38"/>
      <c r="X466" s="38"/>
      <c r="Y466" s="38"/>
      <c r="Z466" s="38"/>
    </row>
    <row r="467" spans="1:26" s="371" customFormat="1" x14ac:dyDescent="0.25">
      <c r="A467" s="280">
        <f t="shared" si="40"/>
        <v>465</v>
      </c>
      <c r="B467" s="277"/>
      <c r="C467" s="52" t="str">
        <f t="shared" si="45"/>
        <v>6US99SANTI</v>
      </c>
      <c r="D467" s="52"/>
      <c r="E467" s="53">
        <f>+'CALCULO TARIFAS CC '!$U$45</f>
        <v>0.82386810577067515</v>
      </c>
      <c r="F467" s="54">
        <f t="shared" si="46"/>
        <v>139.16569999999999</v>
      </c>
      <c r="G467" s="55">
        <f t="shared" si="47"/>
        <v>114.65</v>
      </c>
      <c r="H467" s="49" t="s">
        <v>276</v>
      </c>
      <c r="I467" s="38" t="s">
        <v>77</v>
      </c>
      <c r="J467" s="38">
        <v>139.16574600000001</v>
      </c>
      <c r="K467" s="38"/>
      <c r="L467" s="381"/>
      <c r="M467" s="268"/>
      <c r="N467" s="269"/>
      <c r="O467" s="269"/>
      <c r="P467" s="283"/>
      <c r="Q467" s="269"/>
      <c r="R467" s="269"/>
      <c r="S467" s="38"/>
      <c r="T467" s="38"/>
      <c r="U467" s="38"/>
      <c r="V467" s="38"/>
      <c r="W467" s="38"/>
      <c r="X467" s="38"/>
      <c r="Y467" s="38"/>
      <c r="Z467" s="38"/>
    </row>
    <row r="468" spans="1:26" s="371" customFormat="1" x14ac:dyDescent="0.25">
      <c r="A468" s="280">
        <f t="shared" si="40"/>
        <v>466</v>
      </c>
      <c r="B468" s="277"/>
      <c r="C468" s="52" t="str">
        <f t="shared" si="45"/>
        <v>6US99TMUER</v>
      </c>
      <c r="D468" s="52"/>
      <c r="E468" s="53">
        <f>+'CALCULO TARIFAS CC '!$U$45</f>
        <v>0.82386810577067515</v>
      </c>
      <c r="F468" s="54">
        <f t="shared" si="46"/>
        <v>169.1388</v>
      </c>
      <c r="G468" s="55">
        <f t="shared" si="47"/>
        <v>139.35</v>
      </c>
      <c r="H468" s="49" t="s">
        <v>276</v>
      </c>
      <c r="I468" s="38" t="s">
        <v>78</v>
      </c>
      <c r="J468" s="38">
        <v>169.1387757</v>
      </c>
      <c r="K468" s="38"/>
      <c r="L468" s="381"/>
      <c r="M468" s="268"/>
      <c r="N468" s="269"/>
      <c r="O468" s="269"/>
      <c r="P468" s="283"/>
      <c r="Q468" s="269"/>
      <c r="R468" s="269"/>
      <c r="S468" s="38"/>
      <c r="T468" s="38"/>
      <c r="U468" s="38"/>
      <c r="V468" s="38"/>
      <c r="W468" s="38"/>
      <c r="X468" s="38"/>
      <c r="Y468" s="38"/>
      <c r="Z468" s="38"/>
    </row>
    <row r="469" spans="1:26" s="371" customFormat="1" x14ac:dyDescent="0.25">
      <c r="A469" s="280">
        <f t="shared" si="40"/>
        <v>467</v>
      </c>
      <c r="B469" s="277"/>
      <c r="C469" s="52" t="str">
        <f t="shared" si="45"/>
        <v>6US99_VACAM</v>
      </c>
      <c r="D469" s="52"/>
      <c r="E469" s="53">
        <f>+'CALCULO TARIFAS CC '!$U$45</f>
        <v>0.82386810577067515</v>
      </c>
      <c r="F469" s="54">
        <f t="shared" si="46"/>
        <v>122.8545</v>
      </c>
      <c r="G469" s="55">
        <f t="shared" si="47"/>
        <v>101.22</v>
      </c>
      <c r="H469" s="49" t="s">
        <v>276</v>
      </c>
      <c r="I469" s="38" t="s">
        <v>99</v>
      </c>
      <c r="J469" s="38">
        <v>122.8544521</v>
      </c>
      <c r="K469" s="38"/>
      <c r="L469" s="381"/>
      <c r="M469" s="268"/>
      <c r="N469" s="269"/>
      <c r="O469" s="269"/>
      <c r="P469" s="283"/>
      <c r="Q469" s="269"/>
      <c r="R469" s="269"/>
      <c r="S469" s="38"/>
      <c r="T469" s="38"/>
      <c r="U469" s="38"/>
      <c r="V469" s="38"/>
      <c r="W469" s="38"/>
      <c r="X469" s="38"/>
      <c r="Y469" s="38"/>
      <c r="Z469" s="38"/>
    </row>
    <row r="470" spans="1:26" s="371" customFormat="1" x14ac:dyDescent="0.25">
      <c r="A470" s="280">
        <f t="shared" si="40"/>
        <v>468</v>
      </c>
      <c r="B470" s="277"/>
      <c r="C470" s="52" t="str">
        <f t="shared" si="45"/>
        <v>6US99_VHERM</v>
      </c>
      <c r="D470" s="52"/>
      <c r="E470" s="53">
        <f>+'CALCULO TARIFAS CC '!$U$45</f>
        <v>0.82386810577067515</v>
      </c>
      <c r="F470" s="54">
        <f t="shared" si="46"/>
        <v>85.696200000000005</v>
      </c>
      <c r="G470" s="55">
        <f t="shared" si="47"/>
        <v>70.599999999999994</v>
      </c>
      <c r="H470" s="49" t="s">
        <v>276</v>
      </c>
      <c r="I470" s="38" t="s">
        <v>100</v>
      </c>
      <c r="J470" s="38">
        <v>85.696169699999999</v>
      </c>
      <c r="K470" s="38"/>
      <c r="L470" s="381"/>
      <c r="M470" s="268"/>
      <c r="N470" s="269"/>
      <c r="O470" s="269"/>
      <c r="P470" s="283"/>
      <c r="Q470" s="269"/>
      <c r="R470" s="269"/>
      <c r="S470" s="38"/>
      <c r="T470" s="38"/>
      <c r="U470" s="38"/>
      <c r="V470" s="38"/>
      <c r="W470" s="38"/>
      <c r="X470" s="38"/>
      <c r="Y470" s="38"/>
      <c r="Z470" s="38"/>
    </row>
    <row r="471" spans="1:26" s="371" customFormat="1" x14ac:dyDescent="0.25">
      <c r="A471" s="280">
        <f t="shared" si="40"/>
        <v>469</v>
      </c>
      <c r="B471" s="277"/>
      <c r="C471" s="52" t="str">
        <f t="shared" si="45"/>
        <v>6US99_VLUCRE</v>
      </c>
      <c r="D471" s="52"/>
      <c r="E471" s="53">
        <f>+'CALCULO TARIFAS CC '!$U$45</f>
        <v>0.82386810577067515</v>
      </c>
      <c r="F471" s="54">
        <f t="shared" si="46"/>
        <v>181.81899999999999</v>
      </c>
      <c r="G471" s="55">
        <f t="shared" si="47"/>
        <v>149.79</v>
      </c>
      <c r="H471" s="49" t="s">
        <v>276</v>
      </c>
      <c r="I471" s="38" t="s">
        <v>101</v>
      </c>
      <c r="J471" s="38">
        <v>181.81899920000001</v>
      </c>
      <c r="K471" s="38"/>
      <c r="L471" s="381"/>
      <c r="M471" s="268"/>
      <c r="N471" s="269"/>
      <c r="O471" s="269"/>
      <c r="P471" s="283"/>
      <c r="Q471" s="269"/>
      <c r="R471" s="269"/>
      <c r="S471" s="38"/>
      <c r="T471" s="38"/>
      <c r="U471" s="38"/>
      <c r="V471" s="38"/>
      <c r="W471" s="38"/>
      <c r="X471" s="38"/>
      <c r="Y471" s="38"/>
      <c r="Z471" s="38"/>
    </row>
    <row r="472" spans="1:26" s="371" customFormat="1" x14ac:dyDescent="0.25">
      <c r="A472" s="280">
        <f t="shared" si="40"/>
        <v>470</v>
      </c>
      <c r="B472" s="277"/>
      <c r="C472" s="52" t="str">
        <f t="shared" si="45"/>
        <v>6US99VPORR</v>
      </c>
      <c r="D472" s="52"/>
      <c r="E472" s="53">
        <f>+'CALCULO TARIFAS CC '!$U$45</f>
        <v>0.82386810577067515</v>
      </c>
      <c r="F472" s="54">
        <f t="shared" si="46"/>
        <v>130.91139999999999</v>
      </c>
      <c r="G472" s="55">
        <f t="shared" si="47"/>
        <v>107.85</v>
      </c>
      <c r="H472" s="49" t="s">
        <v>276</v>
      </c>
      <c r="I472" s="38" t="s">
        <v>79</v>
      </c>
      <c r="J472" s="38">
        <v>130.9113926</v>
      </c>
      <c r="K472" s="38"/>
      <c r="L472" s="381"/>
      <c r="M472" s="268"/>
      <c r="N472" s="269"/>
      <c r="O472" s="269"/>
      <c r="P472" s="283"/>
      <c r="Q472" s="269"/>
      <c r="R472" s="269"/>
      <c r="S472" s="38"/>
      <c r="T472" s="38"/>
      <c r="U472" s="38"/>
      <c r="V472" s="38"/>
      <c r="W472" s="38"/>
      <c r="X472" s="38"/>
      <c r="Y472" s="38"/>
      <c r="Z472" s="38"/>
    </row>
    <row r="473" spans="1:26" s="371" customFormat="1" x14ac:dyDescent="0.25">
      <c r="A473" s="280">
        <f t="shared" si="40"/>
        <v>471</v>
      </c>
      <c r="B473" s="277"/>
      <c r="C473" s="52" t="str">
        <f t="shared" si="45"/>
        <v>6US99_VZAITA</v>
      </c>
      <c r="D473" s="52"/>
      <c r="E473" s="53">
        <f>+'CALCULO TARIFAS CC '!$U$45</f>
        <v>0.82386810577067515</v>
      </c>
      <c r="F473" s="54">
        <f t="shared" si="46"/>
        <v>250.5849</v>
      </c>
      <c r="G473" s="55">
        <f t="shared" si="47"/>
        <v>206.45</v>
      </c>
      <c r="H473" s="49" t="s">
        <v>276</v>
      </c>
      <c r="I473" s="38" t="s">
        <v>102</v>
      </c>
      <c r="J473" s="38">
        <v>250.58493730000001</v>
      </c>
      <c r="K473" s="38"/>
      <c r="L473" s="381"/>
      <c r="M473" s="268"/>
      <c r="N473" s="269"/>
      <c r="O473" s="269"/>
      <c r="P473" s="283"/>
      <c r="Q473" s="269"/>
      <c r="R473" s="269"/>
      <c r="S473" s="38"/>
      <c r="T473" s="38"/>
      <c r="U473" s="38"/>
      <c r="V473" s="38"/>
      <c r="W473" s="38"/>
      <c r="X473" s="38"/>
      <c r="Y473" s="38"/>
      <c r="Z473" s="38"/>
    </row>
    <row r="474" spans="1:26" s="371" customFormat="1" x14ac:dyDescent="0.25">
      <c r="A474" s="280">
        <f t="shared" si="40"/>
        <v>472</v>
      </c>
      <c r="B474" s="277"/>
      <c r="C474" s="52" t="str">
        <f t="shared" si="45"/>
        <v>6USCARCHITRE</v>
      </c>
      <c r="D474" s="52"/>
      <c r="E474" s="53">
        <f>+'CALCULO TARIFAS CC '!$U$45</f>
        <v>0.82386810577067515</v>
      </c>
      <c r="F474" s="54">
        <f t="shared" si="46"/>
        <v>108.13209999999999</v>
      </c>
      <c r="G474" s="55">
        <f t="shared" si="47"/>
        <v>89.09</v>
      </c>
      <c r="H474" s="49" t="s">
        <v>276</v>
      </c>
      <c r="I474" s="38" t="s">
        <v>842</v>
      </c>
      <c r="J474" s="38">
        <v>108.132141</v>
      </c>
      <c r="K474" s="38"/>
      <c r="L474" s="381"/>
      <c r="M474" s="268"/>
      <c r="N474" s="269"/>
      <c r="O474" s="269"/>
      <c r="P474" s="283"/>
      <c r="Q474" s="269"/>
      <c r="R474" s="269"/>
      <c r="S474" s="38"/>
      <c r="T474" s="38"/>
      <c r="U474" s="38"/>
      <c r="V474" s="38"/>
      <c r="W474" s="38"/>
      <c r="X474" s="38"/>
      <c r="Y474" s="38"/>
      <c r="Z474" s="38"/>
    </row>
    <row r="475" spans="1:26" s="371" customFormat="1" x14ac:dyDescent="0.25">
      <c r="A475" s="280">
        <f t="shared" si="40"/>
        <v>473</v>
      </c>
      <c r="B475" s="277"/>
      <c r="C475" s="52" t="str">
        <f t="shared" si="45"/>
        <v>6USCARCLLAN</v>
      </c>
      <c r="D475" s="52"/>
      <c r="E475" s="53">
        <f>+'CALCULO TARIFAS CC '!$U$45</f>
        <v>0.82386810577067515</v>
      </c>
      <c r="F475" s="54">
        <f t="shared" si="46"/>
        <v>100.68219999999999</v>
      </c>
      <c r="G475" s="55">
        <f t="shared" si="47"/>
        <v>82.95</v>
      </c>
      <c r="H475" s="49" t="s">
        <v>276</v>
      </c>
      <c r="I475" s="38" t="s">
        <v>463</v>
      </c>
      <c r="J475" s="38">
        <v>100.6821637</v>
      </c>
      <c r="K475" s="38"/>
      <c r="L475" s="381"/>
      <c r="M475" s="268"/>
      <c r="N475" s="269"/>
      <c r="O475" s="269"/>
      <c r="P475" s="283"/>
      <c r="Q475" s="269"/>
      <c r="R475" s="269"/>
      <c r="S475" s="38"/>
      <c r="T475" s="38"/>
      <c r="U475" s="38"/>
      <c r="V475" s="38"/>
      <c r="W475" s="38"/>
      <c r="X475" s="38"/>
      <c r="Y475" s="38"/>
      <c r="Z475" s="38"/>
    </row>
    <row r="476" spans="1:26" s="371" customFormat="1" x14ac:dyDescent="0.25">
      <c r="A476" s="280">
        <f t="shared" si="40"/>
        <v>474</v>
      </c>
      <c r="B476" s="277"/>
      <c r="C476" s="52" t="str">
        <f t="shared" si="45"/>
        <v>6USCARPME</v>
      </c>
      <c r="D476" s="52"/>
      <c r="E476" s="53">
        <f>+'CALCULO TARIFAS CC '!$U$45</f>
        <v>0.82386810577067515</v>
      </c>
      <c r="F476" s="54">
        <f t="shared" si="46"/>
        <v>96.457300000000004</v>
      </c>
      <c r="G476" s="55">
        <f t="shared" si="47"/>
        <v>79.47</v>
      </c>
      <c r="H476" s="49" t="s">
        <v>276</v>
      </c>
      <c r="I476" s="38" t="s">
        <v>462</v>
      </c>
      <c r="J476" s="38">
        <v>96.457323500000001</v>
      </c>
      <c r="K476" s="38"/>
      <c r="L476" s="381"/>
      <c r="M476" s="268"/>
      <c r="N476" s="269"/>
      <c r="O476" s="269"/>
      <c r="P476" s="283"/>
      <c r="Q476" s="269"/>
      <c r="R476" s="269"/>
      <c r="S476" s="38"/>
      <c r="T476" s="38"/>
      <c r="U476" s="38"/>
      <c r="V476" s="38"/>
      <c r="W476" s="38"/>
      <c r="X476" s="38"/>
      <c r="Y476" s="38"/>
      <c r="Z476" s="38"/>
    </row>
    <row r="477" spans="1:26" s="371" customFormat="1" x14ac:dyDescent="0.25">
      <c r="A477" s="280">
        <f t="shared" si="40"/>
        <v>475</v>
      </c>
      <c r="B477" s="277"/>
      <c r="C477" s="52" t="str">
        <f t="shared" si="45"/>
        <v>6USCARTSAN</v>
      </c>
      <c r="D477" s="52"/>
      <c r="E477" s="53">
        <f>+'CALCULO TARIFAS CC '!$U$45</f>
        <v>0.82386810577067515</v>
      </c>
      <c r="F477" s="54">
        <f t="shared" si="46"/>
        <v>87.930899999999994</v>
      </c>
      <c r="G477" s="55">
        <f t="shared" si="47"/>
        <v>72.44</v>
      </c>
      <c r="H477" s="49" t="s">
        <v>276</v>
      </c>
      <c r="I477" s="38" t="s">
        <v>406</v>
      </c>
      <c r="J477" s="38">
        <v>87.93092</v>
      </c>
      <c r="K477" s="38"/>
      <c r="L477" s="381"/>
      <c r="M477" s="268"/>
      <c r="N477" s="269"/>
      <c r="O477" s="269"/>
      <c r="P477" s="283"/>
      <c r="Q477" s="269"/>
      <c r="R477" s="269"/>
      <c r="S477" s="38"/>
      <c r="T477" s="38"/>
      <c r="U477" s="38"/>
      <c r="V477" s="38"/>
      <c r="W477" s="38"/>
      <c r="X477" s="38"/>
      <c r="Y477" s="38"/>
      <c r="Z477" s="38"/>
    </row>
    <row r="478" spans="1:26" s="371" customFormat="1" x14ac:dyDescent="0.25">
      <c r="A478" s="280">
        <f t="shared" si="40"/>
        <v>476</v>
      </c>
      <c r="B478" s="277"/>
      <c r="C478" s="52" t="str">
        <f t="shared" si="45"/>
        <v>6USCARVALG</v>
      </c>
      <c r="D478" s="52"/>
      <c r="E478" s="53">
        <f>+'CALCULO TARIFAS CC '!$U$45</f>
        <v>0.82386810577067515</v>
      </c>
      <c r="F478" s="54">
        <f t="shared" si="46"/>
        <v>166.63890000000001</v>
      </c>
      <c r="G478" s="55">
        <f t="shared" si="47"/>
        <v>137.29</v>
      </c>
      <c r="H478" s="49" t="s">
        <v>276</v>
      </c>
      <c r="I478" s="38" t="s">
        <v>461</v>
      </c>
      <c r="J478" s="38">
        <v>166.6389221</v>
      </c>
      <c r="K478" s="38"/>
      <c r="L478" s="381"/>
      <c r="M478" s="268"/>
      <c r="N478" s="269"/>
      <c r="O478" s="269"/>
      <c r="P478" s="283"/>
      <c r="Q478" s="269"/>
      <c r="R478" s="269"/>
      <c r="S478" s="38"/>
      <c r="T478" s="38"/>
      <c r="U478" s="38"/>
      <c r="V478" s="38"/>
      <c r="W478" s="38"/>
      <c r="X478" s="38"/>
      <c r="Y478" s="38"/>
      <c r="Z478" s="38"/>
    </row>
    <row r="479" spans="1:26" s="371" customFormat="1" x14ac:dyDescent="0.25">
      <c r="A479" s="280">
        <f t="shared" si="40"/>
        <v>477</v>
      </c>
      <c r="B479" s="277"/>
      <c r="C479" s="52" t="str">
        <f t="shared" si="45"/>
        <v>6USERCOTEL</v>
      </c>
      <c r="D479" s="52"/>
      <c r="E479" s="53">
        <f>+'CALCULO TARIFAS CC '!$U$45</f>
        <v>0.82386810577067515</v>
      </c>
      <c r="F479" s="54">
        <f t="shared" si="46"/>
        <v>45.545200000000001</v>
      </c>
      <c r="G479" s="55">
        <f t="shared" si="47"/>
        <v>37.520000000000003</v>
      </c>
      <c r="H479" s="49" t="s">
        <v>276</v>
      </c>
      <c r="I479" s="38" t="s">
        <v>819</v>
      </c>
      <c r="J479" s="38">
        <v>45.545203299999997</v>
      </c>
      <c r="K479" s="38"/>
      <c r="L479" s="381"/>
      <c r="M479" s="268"/>
      <c r="N479" s="269"/>
      <c r="O479" s="269"/>
      <c r="P479" s="283"/>
      <c r="Q479" s="269"/>
      <c r="R479" s="269"/>
      <c r="S479" s="38"/>
      <c r="T479" s="38"/>
      <c r="U479" s="38"/>
      <c r="V479" s="38"/>
      <c r="W479" s="38"/>
      <c r="X479" s="38"/>
      <c r="Y479" s="38"/>
      <c r="Z479" s="38"/>
    </row>
    <row r="480" spans="1:26" s="371" customFormat="1" x14ac:dyDescent="0.25">
      <c r="A480" s="280">
        <f t="shared" si="40"/>
        <v>478</v>
      </c>
      <c r="B480" s="277"/>
      <c r="C480" s="52" t="str">
        <f t="shared" si="45"/>
        <v>6USERVICAR</v>
      </c>
      <c r="D480" s="52"/>
      <c r="E480" s="53">
        <f>+'CALCULO TARIFAS CC '!$U$45</f>
        <v>0.82386810577067515</v>
      </c>
      <c r="F480" s="54">
        <f t="shared" si="46"/>
        <v>174.18979999999999</v>
      </c>
      <c r="G480" s="55">
        <f t="shared" si="47"/>
        <v>143.51</v>
      </c>
      <c r="H480" s="49" t="s">
        <v>276</v>
      </c>
      <c r="I480" s="38" t="s">
        <v>407</v>
      </c>
      <c r="J480" s="38">
        <v>174.1898286</v>
      </c>
      <c r="K480" s="38"/>
      <c r="L480" s="381"/>
      <c r="M480" s="268"/>
      <c r="N480" s="269"/>
      <c r="O480" s="269"/>
      <c r="P480" s="283"/>
      <c r="Q480" s="269"/>
      <c r="R480" s="269"/>
      <c r="S480" s="38"/>
      <c r="T480" s="38"/>
      <c r="U480" s="38"/>
      <c r="V480" s="38"/>
      <c r="W480" s="38"/>
      <c r="X480" s="38"/>
      <c r="Y480" s="38"/>
      <c r="Z480" s="38"/>
    </row>
    <row r="481" spans="1:26" s="371" customFormat="1" x14ac:dyDescent="0.25">
      <c r="A481" s="280">
        <f t="shared" si="40"/>
        <v>479</v>
      </c>
      <c r="B481" s="277"/>
      <c r="C481" s="52" t="str">
        <f t="shared" si="45"/>
        <v>6USFAMILIA</v>
      </c>
      <c r="D481" s="52"/>
      <c r="E481" s="53">
        <f>+'CALCULO TARIFAS CC '!$U$45</f>
        <v>0.82386810577067515</v>
      </c>
      <c r="F481" s="54">
        <f t="shared" si="46"/>
        <v>36.634900000000002</v>
      </c>
      <c r="G481" s="55">
        <f t="shared" si="47"/>
        <v>30.18</v>
      </c>
      <c r="H481" s="49" t="s">
        <v>276</v>
      </c>
      <c r="I481" s="38" t="s">
        <v>702</v>
      </c>
      <c r="J481" s="38">
        <v>36.634895700000001</v>
      </c>
      <c r="K481" s="38"/>
      <c r="L481" s="381"/>
      <c r="M481" s="268"/>
      <c r="N481" s="269"/>
      <c r="O481" s="269"/>
      <c r="P481" s="283"/>
      <c r="Q481" s="269"/>
      <c r="R481" s="269"/>
      <c r="S481" s="38"/>
      <c r="T481" s="38"/>
      <c r="U481" s="38"/>
      <c r="V481" s="38"/>
      <c r="W481" s="38"/>
      <c r="X481" s="38"/>
      <c r="Y481" s="38"/>
      <c r="Z481" s="38"/>
    </row>
    <row r="482" spans="1:26" s="345" customFormat="1" x14ac:dyDescent="0.25">
      <c r="A482" s="280">
        <f t="shared" si="40"/>
        <v>480</v>
      </c>
      <c r="B482" s="277"/>
      <c r="C482" s="52" t="str">
        <f t="shared" si="45"/>
        <v>6USHELTER</v>
      </c>
      <c r="D482" s="52"/>
      <c r="E482" s="53">
        <f>+'CALCULO TARIFAS CC '!$U$45</f>
        <v>0.82386810577067515</v>
      </c>
      <c r="F482" s="54">
        <f t="shared" si="43"/>
        <v>77.666899999999998</v>
      </c>
      <c r="G482" s="55">
        <f t="shared" si="44"/>
        <v>63.99</v>
      </c>
      <c r="H482" s="49" t="s">
        <v>276</v>
      </c>
      <c r="I482" s="38" t="s">
        <v>843</v>
      </c>
      <c r="J482" s="38">
        <v>77.666913699999995</v>
      </c>
      <c r="K482" s="38"/>
      <c r="L482" s="381"/>
      <c r="M482" s="268"/>
      <c r="N482" s="269"/>
      <c r="O482" s="269"/>
      <c r="P482" s="283"/>
      <c r="Q482" s="269"/>
      <c r="R482" s="269"/>
      <c r="S482" s="38"/>
      <c r="T482" s="38"/>
      <c r="U482" s="38"/>
      <c r="V482" s="38"/>
      <c r="W482" s="38"/>
      <c r="X482" s="38"/>
      <c r="Y482" s="38"/>
      <c r="Z482" s="38"/>
    </row>
    <row r="483" spans="1:26" s="345" customFormat="1" x14ac:dyDescent="0.25">
      <c r="A483" s="280">
        <f t="shared" si="40"/>
        <v>481</v>
      </c>
      <c r="B483" s="277"/>
      <c r="C483" s="52" t="str">
        <f t="shared" si="45"/>
        <v>6USMARIABD</v>
      </c>
      <c r="D483" s="52"/>
      <c r="E483" s="53">
        <f>+'CALCULO TARIFAS CC '!$U$45</f>
        <v>0.82386810577067515</v>
      </c>
      <c r="F483" s="54">
        <f t="shared" si="43"/>
        <v>117.72110000000001</v>
      </c>
      <c r="G483" s="55">
        <f t="shared" si="44"/>
        <v>96.99</v>
      </c>
      <c r="H483" s="49" t="s">
        <v>276</v>
      </c>
      <c r="I483" s="38" t="s">
        <v>103</v>
      </c>
      <c r="J483" s="38">
        <v>117.7211052</v>
      </c>
      <c r="K483" s="38"/>
      <c r="L483" s="381"/>
      <c r="M483" s="268"/>
      <c r="N483" s="269"/>
      <c r="O483" s="269"/>
      <c r="P483" s="283"/>
      <c r="Q483" s="269"/>
      <c r="R483" s="269"/>
      <c r="S483" s="38"/>
      <c r="T483" s="38"/>
      <c r="U483" s="38"/>
      <c r="V483" s="38"/>
      <c r="W483" s="38"/>
      <c r="X483" s="38"/>
      <c r="Y483" s="38"/>
      <c r="Z483" s="38"/>
    </row>
    <row r="484" spans="1:26" s="345" customFormat="1" x14ac:dyDescent="0.25">
      <c r="A484" s="280">
        <f t="shared" si="40"/>
        <v>482</v>
      </c>
      <c r="B484" s="277"/>
      <c r="C484" s="52" t="str">
        <f t="shared" si="45"/>
        <v>6USORTIS</v>
      </c>
      <c r="D484" s="52"/>
      <c r="E484" s="53">
        <f>+'CALCULO TARIFAS CC '!$U$45</f>
        <v>0.82386810577067515</v>
      </c>
      <c r="F484" s="54">
        <f t="shared" si="43"/>
        <v>479.2072</v>
      </c>
      <c r="G484" s="55">
        <f t="shared" si="44"/>
        <v>394.8</v>
      </c>
      <c r="H484" s="49" t="s">
        <v>276</v>
      </c>
      <c r="I484" s="38" t="s">
        <v>591</v>
      </c>
      <c r="J484" s="38">
        <v>479.2072354</v>
      </c>
      <c r="K484" s="38"/>
      <c r="L484" s="381"/>
      <c r="M484" s="268"/>
      <c r="N484" s="269"/>
      <c r="O484" s="269"/>
      <c r="P484" s="283"/>
      <c r="Q484" s="269"/>
      <c r="R484" s="269"/>
      <c r="S484" s="38"/>
      <c r="T484" s="38"/>
      <c r="U484" s="38"/>
      <c r="V484" s="38"/>
      <c r="W484" s="38"/>
      <c r="X484" s="38"/>
      <c r="Y484" s="38"/>
      <c r="Z484" s="38"/>
    </row>
    <row r="485" spans="1:26" s="345" customFormat="1" x14ac:dyDescent="0.25">
      <c r="A485" s="280">
        <f t="shared" si="40"/>
        <v>483</v>
      </c>
      <c r="B485" s="277"/>
      <c r="C485" s="52" t="str">
        <f t="shared" si="45"/>
        <v>6USORTIS3</v>
      </c>
      <c r="D485" s="52"/>
      <c r="E485" s="53">
        <f>+'CALCULO TARIFAS CC '!$U$45</f>
        <v>0.82386810577067515</v>
      </c>
      <c r="F485" s="54">
        <f t="shared" ref="F485:F491" si="48">ROUND(J485,4)</f>
        <v>154.68</v>
      </c>
      <c r="G485" s="55">
        <f t="shared" ref="G485:G491" si="49">+ROUND(F485*E485,2)</f>
        <v>127.44</v>
      </c>
      <c r="H485" s="49" t="s">
        <v>276</v>
      </c>
      <c r="I485" s="38" t="s">
        <v>475</v>
      </c>
      <c r="J485" s="38">
        <v>154.6799566</v>
      </c>
      <c r="K485" s="38"/>
      <c r="L485" s="381"/>
      <c r="M485" s="271"/>
      <c r="N485" s="269"/>
      <c r="O485" s="269"/>
      <c r="P485" s="283"/>
      <c r="Q485" s="269"/>
      <c r="R485" s="269"/>
      <c r="S485" s="38"/>
      <c r="T485" s="38"/>
      <c r="U485" s="38"/>
      <c r="V485" s="38"/>
      <c r="W485" s="38"/>
      <c r="X485" s="38"/>
      <c r="Y485" s="38"/>
      <c r="Z485" s="38"/>
    </row>
    <row r="486" spans="1:26" s="345" customFormat="1" x14ac:dyDescent="0.25">
      <c r="A486" s="280">
        <f t="shared" si="40"/>
        <v>484</v>
      </c>
      <c r="B486" s="277"/>
      <c r="C486" s="52" t="str">
        <f t="shared" si="45"/>
        <v>6USUNSTAR</v>
      </c>
      <c r="D486" s="52"/>
      <c r="E486" s="53">
        <f>+'CALCULO TARIFAS CC '!$U$45</f>
        <v>0.82386810577067515</v>
      </c>
      <c r="F486" s="54">
        <f t="shared" si="48"/>
        <v>291.60599999999999</v>
      </c>
      <c r="G486" s="55">
        <f t="shared" si="49"/>
        <v>240.24</v>
      </c>
      <c r="H486" s="49" t="s">
        <v>276</v>
      </c>
      <c r="I486" s="38" t="s">
        <v>104</v>
      </c>
      <c r="J486" s="38">
        <v>291.60596529999998</v>
      </c>
      <c r="K486" s="38"/>
      <c r="L486" s="381"/>
      <c r="M486" s="268"/>
      <c r="N486" s="269"/>
      <c r="O486" s="269"/>
      <c r="P486" s="283"/>
      <c r="Q486" s="269"/>
      <c r="R486" s="269"/>
      <c r="S486" s="38"/>
      <c r="T486" s="38"/>
      <c r="U486" s="38"/>
      <c r="V486" s="38"/>
      <c r="W486" s="38"/>
      <c r="X486" s="38"/>
      <c r="Y486" s="38"/>
      <c r="Z486" s="38"/>
    </row>
    <row r="487" spans="1:26" s="339" customFormat="1" x14ac:dyDescent="0.25">
      <c r="A487" s="280">
        <f t="shared" si="40"/>
        <v>485</v>
      </c>
      <c r="B487" s="277"/>
      <c r="C487" s="52" t="str">
        <f t="shared" si="45"/>
        <v>6USUPERDELIK</v>
      </c>
      <c r="D487" s="52"/>
      <c r="E487" s="53">
        <f>+'CALCULO TARIFAS CC '!$U$45</f>
        <v>0.82386810577067515</v>
      </c>
      <c r="F487" s="54">
        <f t="shared" si="48"/>
        <v>186.4392</v>
      </c>
      <c r="G487" s="55">
        <f t="shared" si="49"/>
        <v>153.6</v>
      </c>
      <c r="H487" s="49" t="s">
        <v>276</v>
      </c>
      <c r="I487" s="38" t="s">
        <v>844</v>
      </c>
      <c r="J487" s="38">
        <v>186.4391852</v>
      </c>
      <c r="K487" s="38"/>
      <c r="L487" s="381"/>
      <c r="M487" s="268"/>
      <c r="N487" s="269"/>
      <c r="O487" s="269"/>
      <c r="P487" s="283"/>
      <c r="Q487" s="269"/>
      <c r="R487" s="269"/>
      <c r="S487" s="38"/>
      <c r="T487" s="38"/>
      <c r="U487" s="38"/>
      <c r="V487" s="38"/>
      <c r="W487" s="38"/>
      <c r="X487" s="38"/>
      <c r="Y487" s="38"/>
      <c r="Z487" s="38"/>
    </row>
    <row r="488" spans="1:26" s="333" customFormat="1" x14ac:dyDescent="0.25">
      <c r="A488" s="280">
        <f t="shared" si="40"/>
        <v>486</v>
      </c>
      <c r="B488" s="277"/>
      <c r="C488" s="52" t="str">
        <f t="shared" si="45"/>
        <v>6UTAJO_ARR</v>
      </c>
      <c r="D488" s="52"/>
      <c r="E488" s="53">
        <f>+'CALCULO TARIFAS CC '!$U$45</f>
        <v>0.82386810577067515</v>
      </c>
      <c r="F488" s="54">
        <f t="shared" si="48"/>
        <v>103.7784</v>
      </c>
      <c r="G488" s="55">
        <f t="shared" si="49"/>
        <v>85.5</v>
      </c>
      <c r="H488" s="49" t="s">
        <v>276</v>
      </c>
      <c r="I488" s="38" t="s">
        <v>732</v>
      </c>
      <c r="J488" s="38">
        <v>103.7783889</v>
      </c>
      <c r="K488" s="38"/>
      <c r="L488" s="381"/>
      <c r="M488" s="268"/>
      <c r="N488" s="269"/>
      <c r="O488" s="269"/>
      <c r="P488" s="283"/>
      <c r="Q488" s="269"/>
      <c r="R488" s="269"/>
      <c r="S488" s="38"/>
      <c r="T488" s="38"/>
      <c r="U488" s="38"/>
      <c r="V488" s="38"/>
      <c r="W488" s="38"/>
      <c r="X488" s="38"/>
      <c r="Y488" s="38"/>
      <c r="Z488" s="38"/>
    </row>
    <row r="489" spans="1:26" s="333" customFormat="1" x14ac:dyDescent="0.25">
      <c r="A489" s="280">
        <f t="shared" si="40"/>
        <v>487</v>
      </c>
      <c r="B489" s="277"/>
      <c r="C489" s="52" t="str">
        <f t="shared" si="45"/>
        <v>6UTAJO_TEC</v>
      </c>
      <c r="D489" s="52"/>
      <c r="E489" s="53">
        <f>+'CALCULO TARIFAS CC '!$U$45</f>
        <v>0.82386810577067515</v>
      </c>
      <c r="F489" s="54">
        <f t="shared" si="48"/>
        <v>71.103099999999998</v>
      </c>
      <c r="G489" s="55">
        <f t="shared" si="49"/>
        <v>58.58</v>
      </c>
      <c r="H489" s="49" t="s">
        <v>276</v>
      </c>
      <c r="I489" s="38" t="s">
        <v>733</v>
      </c>
      <c r="J489" s="38">
        <v>71.103096100000002</v>
      </c>
      <c r="K489" s="38"/>
      <c r="L489" s="381"/>
      <c r="M489" s="268"/>
      <c r="N489" s="269"/>
      <c r="O489" s="269"/>
      <c r="P489" s="283"/>
      <c r="Q489" s="269"/>
      <c r="R489" s="269"/>
      <c r="S489" s="38"/>
      <c r="T489" s="38"/>
      <c r="U489" s="38"/>
      <c r="V489" s="38"/>
      <c r="W489" s="38"/>
      <c r="X489" s="38"/>
      <c r="Y489" s="38"/>
      <c r="Z489" s="38"/>
    </row>
    <row r="490" spans="1:26" s="333" customFormat="1" x14ac:dyDescent="0.25">
      <c r="A490" s="280">
        <f t="shared" si="40"/>
        <v>488</v>
      </c>
      <c r="B490" s="277"/>
      <c r="C490" s="52" t="str">
        <f t="shared" si="45"/>
        <v>6UTAJO_VAC</v>
      </c>
      <c r="D490" s="52"/>
      <c r="E490" s="53">
        <f>+'CALCULO TARIFAS CC '!$U$45</f>
        <v>0.82386810577067515</v>
      </c>
      <c r="F490" s="54">
        <f t="shared" si="48"/>
        <v>116.7302</v>
      </c>
      <c r="G490" s="55">
        <f t="shared" si="49"/>
        <v>96.17</v>
      </c>
      <c r="H490" s="49" t="s">
        <v>276</v>
      </c>
      <c r="I490" s="38" t="s">
        <v>734</v>
      </c>
      <c r="J490" s="38">
        <v>116.73016079999999</v>
      </c>
      <c r="K490" s="38"/>
      <c r="L490" s="381"/>
      <c r="M490" s="268"/>
      <c r="N490" s="269"/>
      <c r="O490" s="269"/>
      <c r="P490" s="283"/>
      <c r="Q490" s="269"/>
      <c r="R490" s="269"/>
      <c r="S490" s="38"/>
      <c r="T490" s="38"/>
      <c r="U490" s="38"/>
      <c r="V490" s="38"/>
      <c r="W490" s="38"/>
      <c r="X490" s="38"/>
      <c r="Y490" s="38"/>
      <c r="Z490" s="38"/>
    </row>
    <row r="491" spans="1:26" s="333" customFormat="1" x14ac:dyDescent="0.25">
      <c r="A491" s="280">
        <f t="shared" si="40"/>
        <v>489</v>
      </c>
      <c r="B491" s="277"/>
      <c r="C491" s="52" t="str">
        <f t="shared" si="45"/>
        <v>6UTBELLDOR</v>
      </c>
      <c r="D491" s="52"/>
      <c r="E491" s="53">
        <f>+'CALCULO TARIFAS CC '!$U$45</f>
        <v>0.82386810577067515</v>
      </c>
      <c r="F491" s="54">
        <f t="shared" si="48"/>
        <v>19.856300000000001</v>
      </c>
      <c r="G491" s="55">
        <f t="shared" si="49"/>
        <v>16.36</v>
      </c>
      <c r="H491" s="49" t="s">
        <v>276</v>
      </c>
      <c r="I491" s="38" t="s">
        <v>861</v>
      </c>
      <c r="J491" s="38">
        <v>19.856345399999999</v>
      </c>
      <c r="K491" s="38"/>
      <c r="L491" s="381"/>
      <c r="M491" s="268"/>
      <c r="N491" s="269"/>
      <c r="O491" s="269"/>
      <c r="P491" s="283"/>
      <c r="Q491" s="269"/>
      <c r="R491" s="269"/>
      <c r="S491" s="38"/>
      <c r="T491" s="38"/>
      <c r="U491" s="38"/>
      <c r="V491" s="38"/>
      <c r="W491" s="38"/>
      <c r="X491" s="38"/>
      <c r="Y491" s="38"/>
      <c r="Z491" s="38"/>
    </row>
    <row r="492" spans="1:26" s="333" customFormat="1" x14ac:dyDescent="0.25">
      <c r="A492" s="280">
        <f t="shared" si="40"/>
        <v>490</v>
      </c>
      <c r="B492" s="277"/>
      <c r="C492" s="52" t="str">
        <f t="shared" si="45"/>
        <v>6UTDNO_CHO</v>
      </c>
      <c r="D492" s="52"/>
      <c r="E492" s="53">
        <f>+'CALCULO TARIFAS CC '!$U$45</f>
        <v>0.82386810577067515</v>
      </c>
      <c r="F492" s="54">
        <f t="shared" si="43"/>
        <v>171.3869</v>
      </c>
      <c r="G492" s="55">
        <f t="shared" si="44"/>
        <v>141.19999999999999</v>
      </c>
      <c r="H492" s="49" t="s">
        <v>276</v>
      </c>
      <c r="I492" s="38" t="s">
        <v>369</v>
      </c>
      <c r="J492" s="38">
        <v>171.38694129999999</v>
      </c>
      <c r="K492" s="38"/>
      <c r="L492" s="381"/>
      <c r="M492" s="268"/>
      <c r="N492" s="269"/>
      <c r="O492" s="269"/>
      <c r="P492" s="283"/>
      <c r="Q492" s="269"/>
      <c r="R492" s="269"/>
      <c r="S492" s="38"/>
      <c r="T492" s="38"/>
      <c r="U492" s="38"/>
      <c r="V492" s="38"/>
      <c r="W492" s="38"/>
      <c r="X492" s="38"/>
      <c r="Y492" s="38"/>
      <c r="Z492" s="38"/>
    </row>
    <row r="493" spans="1:26" s="333" customFormat="1" x14ac:dyDescent="0.25">
      <c r="A493" s="280">
        <f t="shared" si="40"/>
        <v>491</v>
      </c>
      <c r="B493" s="277"/>
      <c r="C493" s="52" t="str">
        <f t="shared" si="45"/>
        <v>6UTDNO_PAV</v>
      </c>
      <c r="D493" s="52"/>
      <c r="E493" s="53">
        <f>+'CALCULO TARIFAS CC '!$U$45</f>
        <v>0.82386810577067515</v>
      </c>
      <c r="F493" s="54">
        <f t="shared" si="43"/>
        <v>189.9896</v>
      </c>
      <c r="G493" s="55">
        <f t="shared" si="44"/>
        <v>156.53</v>
      </c>
      <c r="H493" s="49" t="s">
        <v>276</v>
      </c>
      <c r="I493" s="38" t="s">
        <v>370</v>
      </c>
      <c r="J493" s="38">
        <v>189.98961600000001</v>
      </c>
      <c r="K493" s="38"/>
      <c r="L493" s="381"/>
      <c r="M493" s="268"/>
      <c r="N493" s="269"/>
      <c r="O493" s="269"/>
      <c r="P493" s="283"/>
      <c r="Q493" s="269"/>
      <c r="R493" s="269"/>
      <c r="S493" s="38"/>
      <c r="T493" s="38"/>
      <c r="U493" s="38"/>
      <c r="V493" s="38"/>
      <c r="W493" s="38"/>
      <c r="X493" s="38"/>
      <c r="Y493" s="38"/>
      <c r="Z493" s="38"/>
    </row>
    <row r="494" spans="1:26" s="333" customFormat="1" x14ac:dyDescent="0.25">
      <c r="A494" s="280">
        <f t="shared" si="40"/>
        <v>492</v>
      </c>
      <c r="B494" s="277"/>
      <c r="C494" s="52" t="str">
        <f t="shared" si="45"/>
        <v>6UTDNO_PMA</v>
      </c>
      <c r="D494" s="52"/>
      <c r="E494" s="53">
        <f>+'CALCULO TARIFAS CC '!$U$45</f>
        <v>0.82386810577067515</v>
      </c>
      <c r="F494" s="54">
        <f t="shared" si="43"/>
        <v>1334.5742</v>
      </c>
      <c r="G494" s="55">
        <f t="shared" si="44"/>
        <v>1099.51</v>
      </c>
      <c r="H494" s="49" t="s">
        <v>276</v>
      </c>
      <c r="I494" s="38" t="s">
        <v>368</v>
      </c>
      <c r="J494" s="38">
        <v>1334.5741588999999</v>
      </c>
      <c r="K494" s="38"/>
      <c r="L494" s="381"/>
      <c r="M494" s="268"/>
      <c r="N494" s="269"/>
      <c r="O494" s="269"/>
      <c r="P494" s="283"/>
      <c r="Q494" s="269"/>
      <c r="R494" s="269"/>
      <c r="S494" s="38"/>
      <c r="T494" s="38"/>
      <c r="U494" s="38"/>
      <c r="V494" s="38"/>
      <c r="W494" s="38"/>
      <c r="X494" s="38"/>
      <c r="Y494" s="38"/>
      <c r="Z494" s="38"/>
    </row>
    <row r="495" spans="1:26" s="333" customFormat="1" x14ac:dyDescent="0.25">
      <c r="A495" s="280">
        <f t="shared" si="40"/>
        <v>493</v>
      </c>
      <c r="B495" s="277"/>
      <c r="C495" s="52" t="str">
        <f t="shared" si="45"/>
        <v>6GTECNISOL1</v>
      </c>
      <c r="D495" s="52"/>
      <c r="E495" s="53">
        <f>+'CALCULO TARIFAS CC '!$U$45</f>
        <v>0.82386810577067515</v>
      </c>
      <c r="F495" s="54">
        <f t="shared" si="43"/>
        <v>6.9916</v>
      </c>
      <c r="G495" s="55">
        <f t="shared" si="44"/>
        <v>5.76</v>
      </c>
      <c r="H495" s="49" t="s">
        <v>276</v>
      </c>
      <c r="I495" s="38" t="s">
        <v>417</v>
      </c>
      <c r="J495" s="38">
        <v>6.9916267000000003</v>
      </c>
      <c r="K495" s="38"/>
      <c r="L495" s="381"/>
      <c r="M495" s="268"/>
      <c r="N495" s="269"/>
      <c r="O495" s="269"/>
      <c r="P495" s="283"/>
      <c r="Q495" s="269"/>
      <c r="R495" s="269"/>
      <c r="S495" s="38"/>
      <c r="T495" s="38"/>
      <c r="U495" s="38"/>
      <c r="V495" s="38"/>
      <c r="W495" s="38"/>
      <c r="X495" s="38"/>
      <c r="Y495" s="38"/>
      <c r="Z495" s="38"/>
    </row>
    <row r="496" spans="1:26" s="333" customFormat="1" x14ac:dyDescent="0.25">
      <c r="A496" s="280">
        <f t="shared" si="40"/>
        <v>494</v>
      </c>
      <c r="B496" s="277"/>
      <c r="C496" s="52" t="str">
        <f t="shared" si="45"/>
        <v>6GTECNISOL2</v>
      </c>
      <c r="D496" s="52"/>
      <c r="E496" s="53">
        <f>+'CALCULO TARIFAS CC '!$U$45</f>
        <v>0.82386810577067515</v>
      </c>
      <c r="F496" s="54">
        <f t="shared" si="43"/>
        <v>5.3814000000000002</v>
      </c>
      <c r="G496" s="55">
        <f t="shared" si="44"/>
        <v>4.43</v>
      </c>
      <c r="H496" s="49" t="s">
        <v>276</v>
      </c>
      <c r="I496" s="38" t="s">
        <v>418</v>
      </c>
      <c r="J496" s="38">
        <v>5.3813610000000001</v>
      </c>
      <c r="K496" s="38"/>
      <c r="L496" s="381"/>
      <c r="M496" s="268"/>
      <c r="N496" s="269"/>
      <c r="O496" s="269"/>
      <c r="P496" s="283"/>
      <c r="Q496" s="269"/>
      <c r="R496" s="269"/>
      <c r="S496" s="38"/>
      <c r="T496" s="38"/>
      <c r="U496" s="38"/>
      <c r="V496" s="38"/>
      <c r="W496" s="38"/>
      <c r="X496" s="38"/>
      <c r="Y496" s="38"/>
      <c r="Z496" s="38"/>
    </row>
    <row r="497" spans="1:26" s="333" customFormat="1" x14ac:dyDescent="0.25">
      <c r="A497" s="280">
        <f t="shared" si="40"/>
        <v>495</v>
      </c>
      <c r="B497" s="277"/>
      <c r="C497" s="52" t="str">
        <f t="shared" si="45"/>
        <v>6GTECNISOL3</v>
      </c>
      <c r="D497" s="52"/>
      <c r="E497" s="53">
        <f>+'CALCULO TARIFAS CC '!$U$45</f>
        <v>0.82386810577067515</v>
      </c>
      <c r="F497" s="54">
        <f t="shared" si="43"/>
        <v>6.1600999999999999</v>
      </c>
      <c r="G497" s="55">
        <f t="shared" si="44"/>
        <v>5.08</v>
      </c>
      <c r="H497" s="49" t="s">
        <v>276</v>
      </c>
      <c r="I497" s="38" t="s">
        <v>419</v>
      </c>
      <c r="J497" s="38">
        <v>6.1601214000000004</v>
      </c>
      <c r="K497" s="38"/>
      <c r="L497" s="381"/>
      <c r="M497" s="268"/>
      <c r="N497" s="269"/>
      <c r="O497" s="269"/>
      <c r="P497" s="283"/>
      <c r="Q497" s="269"/>
      <c r="R497" s="269"/>
      <c r="S497" s="38"/>
      <c r="T497" s="38"/>
      <c r="U497" s="38"/>
      <c r="V497" s="38"/>
      <c r="W497" s="38"/>
      <c r="X497" s="38"/>
      <c r="Y497" s="38"/>
      <c r="Z497" s="38"/>
    </row>
    <row r="498" spans="1:26" s="333" customFormat="1" x14ac:dyDescent="0.25">
      <c r="A498" s="280">
        <f t="shared" si="40"/>
        <v>496</v>
      </c>
      <c r="B498" s="277"/>
      <c r="C498" s="52" t="str">
        <f t="shared" si="45"/>
        <v>6GTECNISOL4</v>
      </c>
      <c r="D498" s="52"/>
      <c r="E498" s="53">
        <f>+'CALCULO TARIFAS CC '!$U$45</f>
        <v>0.82386810577067515</v>
      </c>
      <c r="F498" s="54">
        <f t="shared" si="43"/>
        <v>6.5218999999999996</v>
      </c>
      <c r="G498" s="55">
        <f t="shared" si="44"/>
        <v>5.37</v>
      </c>
      <c r="H498" s="49" t="s">
        <v>276</v>
      </c>
      <c r="I498" s="38" t="s">
        <v>420</v>
      </c>
      <c r="J498" s="38">
        <v>6.5218971999999997</v>
      </c>
      <c r="K498" s="38"/>
      <c r="L498" s="381"/>
      <c r="M498" s="381"/>
      <c r="N498" s="269"/>
      <c r="O498" s="269"/>
      <c r="P498" s="283"/>
      <c r="Q498" s="269"/>
      <c r="R498" s="269"/>
      <c r="S498" s="38"/>
      <c r="T498" s="38"/>
      <c r="U498" s="38"/>
      <c r="V498" s="38"/>
      <c r="W498" s="38"/>
      <c r="X498" s="38"/>
      <c r="Y498" s="38"/>
      <c r="Z498" s="38"/>
    </row>
    <row r="499" spans="1:26" s="333" customFormat="1" x14ac:dyDescent="0.25">
      <c r="A499" s="280">
        <f t="shared" si="40"/>
        <v>497</v>
      </c>
      <c r="B499" s="277"/>
      <c r="C499" s="52" t="str">
        <f t="shared" si="45"/>
        <v>6UTELECTOR</v>
      </c>
      <c r="D499" s="52"/>
      <c r="E499" s="53">
        <f>+'CALCULO TARIFAS CC '!$U$45</f>
        <v>0.82386810577067515</v>
      </c>
      <c r="F499" s="54">
        <f t="shared" si="43"/>
        <v>327.33670000000001</v>
      </c>
      <c r="G499" s="55">
        <f t="shared" si="44"/>
        <v>269.68</v>
      </c>
      <c r="H499" s="49" t="s">
        <v>276</v>
      </c>
      <c r="I499" s="38" t="s">
        <v>845</v>
      </c>
      <c r="J499" s="38">
        <v>327.33668419999998</v>
      </c>
      <c r="K499" s="38"/>
      <c r="L499" s="381"/>
      <c r="M499" s="381"/>
      <c r="N499" s="269"/>
      <c r="O499" s="269"/>
      <c r="P499" s="283"/>
      <c r="Q499" s="269"/>
      <c r="R499" s="269"/>
      <c r="S499" s="38"/>
      <c r="T499" s="38"/>
      <c r="U499" s="38"/>
      <c r="V499" s="38"/>
      <c r="W499" s="38"/>
      <c r="X499" s="38"/>
      <c r="Y499" s="38"/>
      <c r="Z499" s="38"/>
    </row>
    <row r="500" spans="1:26" s="333" customFormat="1" x14ac:dyDescent="0.25">
      <c r="A500" s="280">
        <f t="shared" si="40"/>
        <v>498</v>
      </c>
      <c r="B500" s="277"/>
      <c r="C500" s="52" t="str">
        <f t="shared" si="45"/>
        <v>6UTENTOWER</v>
      </c>
      <c r="D500" s="52"/>
      <c r="E500" s="53">
        <f>+'CALCULO TARIFAS CC '!$U$45</f>
        <v>0.82386810577067515</v>
      </c>
      <c r="F500" s="54">
        <f t="shared" si="43"/>
        <v>31.395499999999998</v>
      </c>
      <c r="G500" s="55">
        <f t="shared" si="44"/>
        <v>25.87</v>
      </c>
      <c r="H500" s="49" t="s">
        <v>276</v>
      </c>
      <c r="I500" s="38" t="s">
        <v>631</v>
      </c>
      <c r="J500" s="38">
        <v>31.395476500000001</v>
      </c>
      <c r="K500" s="38"/>
      <c r="L500" s="381"/>
      <c r="M500" s="381"/>
      <c r="N500" s="269"/>
      <c r="O500" s="269"/>
      <c r="P500" s="283"/>
      <c r="Q500" s="269"/>
      <c r="R500" s="269"/>
      <c r="S500" s="38"/>
      <c r="T500" s="38"/>
      <c r="U500" s="38"/>
      <c r="V500" s="38"/>
      <c r="W500" s="38"/>
      <c r="X500" s="38"/>
      <c r="Y500" s="38"/>
      <c r="Z500" s="38"/>
    </row>
    <row r="501" spans="1:26" s="333" customFormat="1" x14ac:dyDescent="0.25">
      <c r="A501" s="280">
        <f t="shared" si="40"/>
        <v>499</v>
      </c>
      <c r="B501" s="277"/>
      <c r="C501" s="52" t="str">
        <f t="shared" si="45"/>
        <v>6UTHEPOINT</v>
      </c>
      <c r="D501" s="52"/>
      <c r="E501" s="53">
        <f>+'CALCULO TARIFAS CC '!$U$45</f>
        <v>0.82386810577067515</v>
      </c>
      <c r="F501" s="54">
        <f t="shared" si="43"/>
        <v>136.3553</v>
      </c>
      <c r="G501" s="55">
        <f t="shared" si="44"/>
        <v>112.34</v>
      </c>
      <c r="H501" s="49" t="s">
        <v>276</v>
      </c>
      <c r="I501" s="38" t="s">
        <v>632</v>
      </c>
      <c r="J501" s="38">
        <v>136.35530030000001</v>
      </c>
      <c r="K501" s="38"/>
      <c r="L501" s="381"/>
      <c r="M501" s="381"/>
      <c r="N501" s="269"/>
      <c r="O501" s="269"/>
      <c r="P501" s="283"/>
      <c r="Q501" s="269"/>
      <c r="R501" s="269"/>
      <c r="S501" s="38"/>
      <c r="T501" s="38"/>
      <c r="U501" s="38"/>
      <c r="V501" s="38"/>
      <c r="W501" s="38"/>
      <c r="X501" s="38"/>
      <c r="Y501" s="38"/>
      <c r="Z501" s="38"/>
    </row>
    <row r="502" spans="1:26" s="333" customFormat="1" x14ac:dyDescent="0.25">
      <c r="A502" s="280">
        <f t="shared" si="40"/>
        <v>500</v>
      </c>
      <c r="B502" s="277"/>
      <c r="C502" s="52" t="str">
        <f t="shared" si="45"/>
        <v>6UTMECDEP</v>
      </c>
      <c r="D502" s="52"/>
      <c r="E502" s="53">
        <f>+'CALCULO TARIFAS CC '!$U$45</f>
        <v>0.82386810577067515</v>
      </c>
      <c r="F502" s="54">
        <f t="shared" si="43"/>
        <v>1263.2956999999999</v>
      </c>
      <c r="G502" s="55">
        <f t="shared" si="44"/>
        <v>1040.79</v>
      </c>
      <c r="H502" s="49" t="s">
        <v>276</v>
      </c>
      <c r="I502" s="38" t="s">
        <v>397</v>
      </c>
      <c r="J502" s="38">
        <v>1263.2957389000001</v>
      </c>
      <c r="K502" s="38"/>
      <c r="L502" s="381"/>
      <c r="M502" s="381"/>
      <c r="N502" s="269"/>
      <c r="O502" s="269"/>
      <c r="P502" s="283"/>
      <c r="Q502" s="269"/>
      <c r="R502" s="269"/>
      <c r="S502" s="38"/>
      <c r="T502" s="38"/>
      <c r="U502" s="38"/>
      <c r="V502" s="38"/>
      <c r="W502" s="38"/>
      <c r="X502" s="38"/>
      <c r="Y502" s="38"/>
      <c r="Z502" s="38"/>
    </row>
    <row r="503" spans="1:26" s="333" customFormat="1" x14ac:dyDescent="0.25">
      <c r="A503" s="280">
        <f t="shared" si="40"/>
        <v>501</v>
      </c>
      <c r="B503" s="277"/>
      <c r="C503" s="52" t="str">
        <f t="shared" si="45"/>
        <v>6UTORREALBA</v>
      </c>
      <c r="D503" s="52"/>
      <c r="E503" s="53">
        <f>+'CALCULO TARIFAS CC '!$U$45</f>
        <v>0.82386810577067515</v>
      </c>
      <c r="F503" s="54">
        <f t="shared" si="43"/>
        <v>194.33320000000001</v>
      </c>
      <c r="G503" s="55">
        <f t="shared" si="44"/>
        <v>160.1</v>
      </c>
      <c r="H503" s="49" t="s">
        <v>276</v>
      </c>
      <c r="I503" s="38" t="s">
        <v>367</v>
      </c>
      <c r="J503" s="38">
        <v>194.33315630000001</v>
      </c>
      <c r="K503" s="38"/>
      <c r="L503" s="381"/>
      <c r="M503" s="381"/>
      <c r="N503" s="269"/>
      <c r="O503" s="269"/>
      <c r="P503" s="283"/>
      <c r="Q503" s="269"/>
      <c r="R503" s="269"/>
      <c r="S503" s="38"/>
      <c r="T503" s="38"/>
      <c r="U503" s="38"/>
      <c r="V503" s="38"/>
      <c r="W503" s="38"/>
      <c r="X503" s="38"/>
      <c r="Y503" s="38"/>
      <c r="Z503" s="38"/>
    </row>
    <row r="504" spans="1:26" s="333" customFormat="1" x14ac:dyDescent="0.25">
      <c r="A504" s="280">
        <f t="shared" si="40"/>
        <v>502</v>
      </c>
      <c r="B504" s="277"/>
      <c r="C504" s="52" t="str">
        <f t="shared" si="45"/>
        <v>6UTORREPMA</v>
      </c>
      <c r="D504" s="52"/>
      <c r="E504" s="53">
        <f>+'CALCULO TARIFAS CC '!$U$45</f>
        <v>0.82386810577067515</v>
      </c>
      <c r="F504" s="54">
        <f t="shared" si="43"/>
        <v>27.051300000000001</v>
      </c>
      <c r="G504" s="55">
        <f t="shared" si="44"/>
        <v>22.29</v>
      </c>
      <c r="H504" s="49" t="s">
        <v>276</v>
      </c>
      <c r="I504" s="38" t="s">
        <v>778</v>
      </c>
      <c r="J504" s="38">
        <v>27.051275199999999</v>
      </c>
      <c r="K504" s="38"/>
      <c r="L504" s="381"/>
      <c r="M504" s="381"/>
      <c r="N504" s="269"/>
      <c r="O504" s="269"/>
      <c r="P504" s="283"/>
      <c r="Q504" s="269"/>
      <c r="R504" s="269"/>
      <c r="S504" s="38"/>
      <c r="T504" s="38"/>
      <c r="U504" s="38"/>
      <c r="V504" s="38"/>
      <c r="W504" s="38"/>
      <c r="X504" s="38"/>
      <c r="Y504" s="38"/>
      <c r="Z504" s="38"/>
    </row>
    <row r="505" spans="1:26" s="333" customFormat="1" x14ac:dyDescent="0.25">
      <c r="A505" s="280">
        <f t="shared" si="40"/>
        <v>503</v>
      </c>
      <c r="B505" s="277"/>
      <c r="C505" s="52" t="str">
        <f t="shared" si="45"/>
        <v>6UTOWNCENTER</v>
      </c>
      <c r="D505" s="52"/>
      <c r="E505" s="53">
        <f>+'CALCULO TARIFAS CC '!$U$45</f>
        <v>0.82386810577067515</v>
      </c>
      <c r="F505" s="54">
        <f t="shared" si="43"/>
        <v>680.61239999999998</v>
      </c>
      <c r="G505" s="55">
        <f t="shared" si="44"/>
        <v>560.73</v>
      </c>
      <c r="H505" s="49" t="s">
        <v>276</v>
      </c>
      <c r="I505" s="38" t="s">
        <v>665</v>
      </c>
      <c r="J505" s="38">
        <v>680.61240929999997</v>
      </c>
      <c r="K505" s="38"/>
      <c r="L505" s="381"/>
      <c r="M505" s="381"/>
      <c r="N505" s="269"/>
      <c r="O505" s="269"/>
      <c r="P505" s="283"/>
      <c r="Q505" s="269"/>
      <c r="R505" s="269"/>
      <c r="S505" s="38"/>
      <c r="T505" s="38"/>
      <c r="U505" s="38"/>
      <c r="V505" s="38"/>
      <c r="W505" s="38"/>
      <c r="X505" s="38"/>
      <c r="Y505" s="38"/>
      <c r="Z505" s="38"/>
    </row>
    <row r="506" spans="1:26" s="333" customFormat="1" x14ac:dyDescent="0.25">
      <c r="A506" s="280">
        <f t="shared" si="40"/>
        <v>504</v>
      </c>
      <c r="B506" s="277"/>
      <c r="C506" s="52" t="str">
        <f t="shared" si="45"/>
        <v>6UTUBOTEC</v>
      </c>
      <c r="D506" s="52"/>
      <c r="E506" s="53">
        <f>+'CALCULO TARIFAS CC '!$U$45</f>
        <v>0.82386810577067515</v>
      </c>
      <c r="F506" s="54">
        <f t="shared" si="43"/>
        <v>24.267099999999999</v>
      </c>
      <c r="G506" s="55">
        <f t="shared" si="44"/>
        <v>19.989999999999998</v>
      </c>
      <c r="H506" s="49" t="s">
        <v>276</v>
      </c>
      <c r="I506" s="38" t="s">
        <v>366</v>
      </c>
      <c r="J506" s="38">
        <v>24.2671226</v>
      </c>
      <c r="K506" s="38"/>
      <c r="L506" s="381"/>
      <c r="M506" s="381"/>
      <c r="N506" s="269"/>
      <c r="O506" s="269"/>
      <c r="P506" s="283"/>
      <c r="Q506" s="269"/>
      <c r="R506" s="269"/>
      <c r="S506" s="38"/>
      <c r="T506" s="38"/>
      <c r="U506" s="38"/>
      <c r="V506" s="38"/>
      <c r="W506" s="38"/>
      <c r="X506" s="38"/>
      <c r="Y506" s="38"/>
      <c r="Z506" s="38"/>
    </row>
    <row r="507" spans="1:26" s="333" customFormat="1" x14ac:dyDescent="0.25">
      <c r="A507" s="280">
        <f t="shared" si="40"/>
        <v>505</v>
      </c>
      <c r="B507" s="277"/>
      <c r="C507" s="52" t="str">
        <f t="shared" si="45"/>
        <v>6UTVNCAZUL</v>
      </c>
      <c r="D507" s="52"/>
      <c r="E507" s="53">
        <f>+'CALCULO TARIFAS CC '!$U$45</f>
        <v>0.82386810577067515</v>
      </c>
      <c r="F507" s="54">
        <f t="shared" si="43"/>
        <v>137.29849999999999</v>
      </c>
      <c r="G507" s="55">
        <f t="shared" si="44"/>
        <v>113.12</v>
      </c>
      <c r="H507" s="49" t="s">
        <v>276</v>
      </c>
      <c r="I507" s="38" t="s">
        <v>703</v>
      </c>
      <c r="J507" s="38">
        <v>137.29848569999999</v>
      </c>
      <c r="K507" s="38"/>
      <c r="L507" s="381"/>
      <c r="M507" s="381"/>
      <c r="N507" s="269"/>
      <c r="O507" s="269"/>
      <c r="P507" s="283"/>
      <c r="Q507" s="269"/>
      <c r="R507" s="269"/>
      <c r="S507" s="38"/>
      <c r="T507" s="38"/>
      <c r="U507" s="38"/>
      <c r="V507" s="38"/>
      <c r="W507" s="38"/>
      <c r="X507" s="38"/>
      <c r="Y507" s="38"/>
      <c r="Z507" s="38"/>
    </row>
    <row r="508" spans="1:26" s="333" customFormat="1" x14ac:dyDescent="0.25">
      <c r="A508" s="280">
        <f t="shared" si="40"/>
        <v>506</v>
      </c>
      <c r="B508" s="277"/>
      <c r="C508" s="52" t="str">
        <f t="shared" si="45"/>
        <v>6UTZANETATOS</v>
      </c>
      <c r="D508" s="52"/>
      <c r="E508" s="53">
        <f>+'CALCULO TARIFAS CC '!$U$45</f>
        <v>0.82386810577067515</v>
      </c>
      <c r="F508" s="54">
        <f t="shared" si="43"/>
        <v>316.17680000000001</v>
      </c>
      <c r="G508" s="55">
        <f t="shared" si="44"/>
        <v>260.49</v>
      </c>
      <c r="H508" s="49" t="s">
        <v>276</v>
      </c>
      <c r="I508" s="38" t="s">
        <v>592</v>
      </c>
      <c r="J508" s="38">
        <v>316.17678119999999</v>
      </c>
      <c r="K508" s="38"/>
      <c r="L508" s="381"/>
      <c r="M508" s="381"/>
      <c r="N508" s="269"/>
      <c r="O508" s="269"/>
      <c r="P508" s="283"/>
      <c r="Q508" s="269"/>
      <c r="R508" s="269"/>
      <c r="S508" s="38"/>
      <c r="T508" s="38"/>
      <c r="U508" s="38"/>
      <c r="V508" s="38"/>
      <c r="W508" s="38"/>
      <c r="X508" s="38"/>
      <c r="Y508" s="38"/>
      <c r="Z508" s="38"/>
    </row>
    <row r="509" spans="1:26" s="333" customFormat="1" x14ac:dyDescent="0.25">
      <c r="A509" s="280">
        <f t="shared" si="40"/>
        <v>507</v>
      </c>
      <c r="B509" s="277"/>
      <c r="C509" s="52" t="str">
        <f t="shared" si="45"/>
        <v>6GUEPPME1</v>
      </c>
      <c r="D509" s="52"/>
      <c r="E509" s="53">
        <f>+'CALCULO TARIFAS CC '!$U$45</f>
        <v>0.82386810577067515</v>
      </c>
      <c r="F509" s="54">
        <f t="shared" si="43"/>
        <v>20.741099999999999</v>
      </c>
      <c r="G509" s="55">
        <f t="shared" si="44"/>
        <v>17.09</v>
      </c>
      <c r="H509" s="49" t="s">
        <v>276</v>
      </c>
      <c r="I509" s="38" t="s">
        <v>502</v>
      </c>
      <c r="J509" s="38">
        <v>20.741082299999999</v>
      </c>
      <c r="K509" s="38"/>
      <c r="L509" s="381"/>
      <c r="M509" s="381"/>
      <c r="N509" s="269"/>
      <c r="O509" s="269"/>
      <c r="P509" s="269"/>
      <c r="Q509" s="269"/>
      <c r="R509" s="269"/>
      <c r="S509" s="38"/>
      <c r="T509" s="38"/>
      <c r="U509" s="38"/>
      <c r="V509" s="38"/>
      <c r="W509" s="38"/>
      <c r="X509" s="38"/>
      <c r="Y509" s="38"/>
      <c r="Z509" s="38"/>
    </row>
    <row r="510" spans="1:26" s="381" customFormat="1" x14ac:dyDescent="0.25">
      <c r="A510" s="280">
        <f t="shared" si="40"/>
        <v>508</v>
      </c>
      <c r="B510" s="277"/>
      <c r="C510" s="52" t="str">
        <f t="shared" si="45"/>
        <v>6GUEPPME2</v>
      </c>
      <c r="D510" s="52"/>
      <c r="E510" s="53">
        <f>+'CALCULO TARIFAS CC '!$U$45</f>
        <v>0.82386810577067515</v>
      </c>
      <c r="F510" s="54">
        <f t="shared" ref="F510:F540" si="50">ROUND(J510,4)</f>
        <v>148.48519999999999</v>
      </c>
      <c r="G510" s="55">
        <f t="shared" ref="G510:G540" si="51">+ROUND(F510*E510,2)</f>
        <v>122.33</v>
      </c>
      <c r="H510" s="49" t="s">
        <v>276</v>
      </c>
      <c r="I510" s="38" t="s">
        <v>484</v>
      </c>
      <c r="J510" s="38">
        <v>148.4852391</v>
      </c>
      <c r="K510" s="38"/>
      <c r="N510" s="269"/>
      <c r="O510" s="269"/>
      <c r="P510" s="283"/>
      <c r="Q510" s="269"/>
      <c r="R510" s="269"/>
      <c r="S510" s="38"/>
      <c r="T510" s="38"/>
      <c r="U510" s="38"/>
      <c r="V510" s="38"/>
      <c r="W510" s="38"/>
      <c r="X510" s="38"/>
      <c r="Y510" s="38"/>
      <c r="Z510" s="38"/>
    </row>
    <row r="511" spans="1:26" s="381" customFormat="1" x14ac:dyDescent="0.25">
      <c r="A511" s="280">
        <f t="shared" ref="A511:A521" si="52">A510+1</f>
        <v>509</v>
      </c>
      <c r="B511" s="277"/>
      <c r="C511" s="52" t="str">
        <f t="shared" si="45"/>
        <v>6UVH_CIA</v>
      </c>
      <c r="D511" s="52"/>
      <c r="E511" s="53">
        <f>+'CALCULO TARIFAS CC '!$U$45</f>
        <v>0.82386810577067515</v>
      </c>
      <c r="F511" s="54">
        <f t="shared" si="50"/>
        <v>54.970999999999997</v>
      </c>
      <c r="G511" s="55">
        <f t="shared" si="51"/>
        <v>45.29</v>
      </c>
      <c r="H511" s="49" t="s">
        <v>276</v>
      </c>
      <c r="I511" s="38" t="s">
        <v>105</v>
      </c>
      <c r="J511" s="38">
        <v>54.971004200000003</v>
      </c>
      <c r="K511" s="38"/>
      <c r="N511" s="269"/>
      <c r="O511" s="269"/>
      <c r="P511" s="283"/>
      <c r="Q511" s="269"/>
      <c r="R511" s="269"/>
      <c r="S511" s="38"/>
      <c r="T511" s="38"/>
      <c r="U511" s="38"/>
      <c r="V511" s="38"/>
      <c r="W511" s="38"/>
      <c r="X511" s="38"/>
      <c r="Y511" s="38"/>
      <c r="Z511" s="38"/>
    </row>
    <row r="512" spans="1:26" s="381" customFormat="1" x14ac:dyDescent="0.25">
      <c r="A512" s="280">
        <f t="shared" si="52"/>
        <v>510</v>
      </c>
      <c r="B512" s="277"/>
      <c r="C512" s="52" t="str">
        <f t="shared" si="45"/>
        <v>6UVH_DES</v>
      </c>
      <c r="D512" s="52"/>
      <c r="E512" s="53">
        <f>+'CALCULO TARIFAS CC '!$U$45</f>
        <v>0.82386810577067515</v>
      </c>
      <c r="F512" s="54">
        <f t="shared" si="50"/>
        <v>494.94929999999999</v>
      </c>
      <c r="G512" s="55">
        <f t="shared" si="51"/>
        <v>407.77</v>
      </c>
      <c r="H512" s="49" t="s">
        <v>276</v>
      </c>
      <c r="I512" s="38" t="s">
        <v>350</v>
      </c>
      <c r="J512" s="38">
        <v>494.9492644</v>
      </c>
      <c r="K512" s="38"/>
      <c r="N512" s="269"/>
      <c r="O512" s="269"/>
      <c r="P512" s="283"/>
      <c r="Q512" s="269"/>
      <c r="R512" s="269"/>
      <c r="S512" s="38"/>
      <c r="T512" s="38"/>
      <c r="U512" s="38"/>
      <c r="V512" s="38"/>
      <c r="W512" s="38"/>
      <c r="X512" s="38"/>
      <c r="Y512" s="38"/>
      <c r="Z512" s="38"/>
    </row>
    <row r="513" spans="1:26" s="381" customFormat="1" x14ac:dyDescent="0.25">
      <c r="A513" s="280">
        <f t="shared" si="52"/>
        <v>511</v>
      </c>
      <c r="B513" s="277"/>
      <c r="C513" s="52" t="str">
        <f t="shared" si="45"/>
        <v>6UVH_TOC</v>
      </c>
      <c r="D513" s="52"/>
      <c r="E513" s="53">
        <f>+'CALCULO TARIFAS CC '!$U$45</f>
        <v>0.82386810577067515</v>
      </c>
      <c r="F513" s="54">
        <f t="shared" si="50"/>
        <v>30.458500000000001</v>
      </c>
      <c r="G513" s="55">
        <f t="shared" si="51"/>
        <v>25.09</v>
      </c>
      <c r="H513" s="49" t="s">
        <v>276</v>
      </c>
      <c r="I513" s="38" t="s">
        <v>361</v>
      </c>
      <c r="J513" s="38">
        <v>30.4585337</v>
      </c>
      <c r="K513" s="38"/>
      <c r="N513" s="269"/>
      <c r="O513" s="269"/>
      <c r="P513" s="283"/>
      <c r="Q513" s="269"/>
      <c r="R513" s="269"/>
      <c r="S513" s="38"/>
      <c r="T513" s="38"/>
      <c r="U513" s="38"/>
      <c r="V513" s="38"/>
      <c r="W513" s="38"/>
      <c r="X513" s="38"/>
      <c r="Y513" s="38"/>
      <c r="Z513" s="38"/>
    </row>
    <row r="514" spans="1:26" s="381" customFormat="1" x14ac:dyDescent="0.25">
      <c r="A514" s="280">
        <f t="shared" si="52"/>
        <v>512</v>
      </c>
      <c r="B514" s="277"/>
      <c r="C514" s="52" t="str">
        <f t="shared" si="45"/>
        <v>6UVIVUNIDOS</v>
      </c>
      <c r="D514" s="52"/>
      <c r="E514" s="53">
        <f>+'CALCULO TARIFAS CC '!$U$45</f>
        <v>0.82386810577067515</v>
      </c>
      <c r="F514" s="54">
        <f t="shared" si="50"/>
        <v>167.4325</v>
      </c>
      <c r="G514" s="55">
        <f t="shared" si="51"/>
        <v>137.94</v>
      </c>
      <c r="H514" s="49" t="s">
        <v>276</v>
      </c>
      <c r="I514" s="38" t="s">
        <v>593</v>
      </c>
      <c r="J514" s="38">
        <v>167.4324905</v>
      </c>
      <c r="K514" s="38"/>
      <c r="N514" s="269"/>
      <c r="O514" s="269"/>
      <c r="P514" s="283"/>
      <c r="Q514" s="269"/>
      <c r="R514" s="269"/>
      <c r="S514" s="38"/>
      <c r="T514" s="38"/>
      <c r="U514" s="38"/>
      <c r="V514" s="38"/>
      <c r="W514" s="38"/>
      <c r="X514" s="38"/>
      <c r="Y514" s="38"/>
      <c r="Z514" s="38"/>
    </row>
    <row r="515" spans="1:26" s="381" customFormat="1" x14ac:dyDescent="0.25">
      <c r="A515" s="280">
        <f t="shared" si="52"/>
        <v>513</v>
      </c>
      <c r="B515" s="277"/>
      <c r="C515" s="52" t="str">
        <f t="shared" si="45"/>
        <v>6UVMERCA</v>
      </c>
      <c r="D515" s="52"/>
      <c r="E515" s="53">
        <f>+'CALCULO TARIFAS CC '!$U$45</f>
        <v>0.82386810577067515</v>
      </c>
      <c r="F515" s="54">
        <f t="shared" si="50"/>
        <v>50.740699999999997</v>
      </c>
      <c r="G515" s="55">
        <f t="shared" si="51"/>
        <v>41.8</v>
      </c>
      <c r="H515" s="49" t="s">
        <v>276</v>
      </c>
      <c r="I515" s="38" t="s">
        <v>487</v>
      </c>
      <c r="J515" s="38">
        <v>50.740697300000001</v>
      </c>
      <c r="K515" s="38"/>
      <c r="N515" s="269"/>
      <c r="O515" s="269"/>
      <c r="P515" s="283"/>
      <c r="Q515" s="269"/>
      <c r="R515" s="269"/>
      <c r="S515" s="38"/>
      <c r="T515" s="38"/>
      <c r="U515" s="38"/>
      <c r="V515" s="38"/>
      <c r="W515" s="38"/>
      <c r="X515" s="38"/>
      <c r="Y515" s="38"/>
      <c r="Z515" s="38"/>
    </row>
    <row r="516" spans="1:26" s="381" customFormat="1" x14ac:dyDescent="0.25">
      <c r="A516" s="280">
        <f t="shared" si="52"/>
        <v>514</v>
      </c>
      <c r="B516" s="277"/>
      <c r="C516" s="52" t="str">
        <f t="shared" si="45"/>
        <v>6UXACACIA</v>
      </c>
      <c r="D516" s="52"/>
      <c r="E516" s="53">
        <f>+'CALCULO TARIFAS CC '!$U$45</f>
        <v>0.82386810577067515</v>
      </c>
      <c r="F516" s="54">
        <f t="shared" si="50"/>
        <v>257.55419999999998</v>
      </c>
      <c r="G516" s="55">
        <f t="shared" si="51"/>
        <v>212.19</v>
      </c>
      <c r="H516" s="49" t="s">
        <v>276</v>
      </c>
      <c r="I516" s="38" t="s">
        <v>382</v>
      </c>
      <c r="J516" s="38">
        <v>257.55420229999999</v>
      </c>
      <c r="K516" s="38"/>
      <c r="N516" s="269"/>
      <c r="O516" s="269"/>
      <c r="P516" s="283"/>
      <c r="Q516" s="269"/>
      <c r="R516" s="269"/>
      <c r="S516" s="38"/>
      <c r="T516" s="38"/>
      <c r="U516" s="38"/>
      <c r="V516" s="38"/>
      <c r="W516" s="38"/>
      <c r="X516" s="38"/>
      <c r="Y516" s="38"/>
      <c r="Z516" s="38"/>
    </row>
    <row r="517" spans="1:26" s="381" customFormat="1" x14ac:dyDescent="0.25">
      <c r="A517" s="280">
        <f t="shared" si="52"/>
        <v>515</v>
      </c>
      <c r="B517" s="277"/>
      <c r="C517" s="52" t="str">
        <f t="shared" si="45"/>
        <v>6UXALBROOK</v>
      </c>
      <c r="D517" s="52"/>
      <c r="E517" s="53">
        <f>+'CALCULO TARIFAS CC '!$U$45</f>
        <v>0.82386810577067515</v>
      </c>
      <c r="F517" s="54">
        <f t="shared" si="50"/>
        <v>140.7963</v>
      </c>
      <c r="G517" s="55">
        <f t="shared" si="51"/>
        <v>116</v>
      </c>
      <c r="H517" s="49" t="s">
        <v>276</v>
      </c>
      <c r="I517" s="38" t="s">
        <v>448</v>
      </c>
      <c r="J517" s="38">
        <v>140.79632219999999</v>
      </c>
      <c r="K517" s="38"/>
      <c r="N517" s="269"/>
      <c r="O517" s="269"/>
      <c r="P517" s="283"/>
      <c r="Q517" s="269"/>
      <c r="R517" s="269"/>
      <c r="S517" s="38"/>
      <c r="T517" s="38"/>
      <c r="U517" s="38"/>
      <c r="V517" s="38"/>
      <c r="W517" s="38"/>
      <c r="X517" s="38"/>
      <c r="Y517" s="38"/>
      <c r="Z517" s="38"/>
    </row>
    <row r="518" spans="1:26" s="381" customFormat="1" x14ac:dyDescent="0.25">
      <c r="A518" s="280">
        <f t="shared" si="52"/>
        <v>516</v>
      </c>
      <c r="B518" s="277"/>
      <c r="C518" s="52" t="str">
        <f t="shared" si="45"/>
        <v>6UXANCLAS</v>
      </c>
      <c r="D518" s="52"/>
      <c r="E518" s="53">
        <f>+'CALCULO TARIFAS CC '!$U$45</f>
        <v>0.82386810577067515</v>
      </c>
      <c r="F518" s="54">
        <f t="shared" si="50"/>
        <v>143.90809999999999</v>
      </c>
      <c r="G518" s="55">
        <f t="shared" si="51"/>
        <v>118.56</v>
      </c>
      <c r="H518" s="49" t="s">
        <v>276</v>
      </c>
      <c r="I518" s="38" t="s">
        <v>375</v>
      </c>
      <c r="J518" s="38">
        <v>143.90813940000001</v>
      </c>
      <c r="K518" s="38"/>
      <c r="N518" s="269"/>
      <c r="O518" s="269"/>
      <c r="P518" s="283"/>
      <c r="Q518" s="269"/>
      <c r="R518" s="269"/>
      <c r="S518" s="38"/>
      <c r="T518" s="38"/>
      <c r="U518" s="38"/>
      <c r="V518" s="38"/>
      <c r="W518" s="38"/>
      <c r="X518" s="38"/>
      <c r="Y518" s="38"/>
      <c r="Z518" s="38"/>
    </row>
    <row r="519" spans="1:26" s="381" customFormat="1" x14ac:dyDescent="0.25">
      <c r="A519" s="280">
        <f t="shared" si="52"/>
        <v>517</v>
      </c>
      <c r="B519" s="277"/>
      <c r="C519" s="52" t="str">
        <f t="shared" si="45"/>
        <v>6UXARRAIJ</v>
      </c>
      <c r="D519" s="52"/>
      <c r="E519" s="53">
        <f>+'CALCULO TARIFAS CC '!$U$45</f>
        <v>0.82386810577067515</v>
      </c>
      <c r="F519" s="54">
        <f t="shared" si="50"/>
        <v>308.75979999999998</v>
      </c>
      <c r="G519" s="55">
        <f t="shared" si="51"/>
        <v>254.38</v>
      </c>
      <c r="H519" s="49" t="s">
        <v>276</v>
      </c>
      <c r="I519" s="38" t="s">
        <v>411</v>
      </c>
      <c r="J519" s="38">
        <v>308.75979560000002</v>
      </c>
      <c r="K519" s="38"/>
      <c r="N519" s="269"/>
      <c r="O519" s="269"/>
      <c r="P519" s="283"/>
      <c r="Q519" s="269"/>
      <c r="R519" s="269"/>
      <c r="S519" s="38"/>
      <c r="T519" s="38"/>
      <c r="U519" s="38"/>
      <c r="V519" s="38"/>
      <c r="W519" s="38"/>
      <c r="X519" s="38"/>
      <c r="Y519" s="38"/>
      <c r="Z519" s="38"/>
    </row>
    <row r="520" spans="1:26" s="381" customFormat="1" x14ac:dyDescent="0.25">
      <c r="A520" s="280">
        <f t="shared" si="52"/>
        <v>518</v>
      </c>
      <c r="B520" s="277"/>
      <c r="C520" s="52" t="str">
        <f t="shared" si="45"/>
        <v>6UXBUGABA</v>
      </c>
      <c r="D520" s="52"/>
      <c r="E520" s="53">
        <f>+'CALCULO TARIFAS CC '!$U$45</f>
        <v>0.82386810577067515</v>
      </c>
      <c r="F520" s="54">
        <f t="shared" si="50"/>
        <v>37.949399999999997</v>
      </c>
      <c r="G520" s="55">
        <f t="shared" si="51"/>
        <v>31.27</v>
      </c>
      <c r="H520" s="49" t="s">
        <v>276</v>
      </c>
      <c r="I520" s="38" t="s">
        <v>862</v>
      </c>
      <c r="J520" s="38">
        <v>37.949390999999999</v>
      </c>
      <c r="K520" s="38"/>
      <c r="N520" s="269"/>
      <c r="O520" s="269"/>
      <c r="P520" s="283"/>
      <c r="Q520" s="269"/>
      <c r="R520" s="269"/>
      <c r="S520" s="38"/>
      <c r="T520" s="38"/>
      <c r="U520" s="38"/>
      <c r="V520" s="38"/>
      <c r="W520" s="38"/>
      <c r="X520" s="38"/>
      <c r="Y520" s="38"/>
      <c r="Z520" s="38"/>
    </row>
    <row r="521" spans="1:26" s="376" customFormat="1" x14ac:dyDescent="0.25">
      <c r="A521" s="280">
        <f t="shared" si="52"/>
        <v>519</v>
      </c>
      <c r="B521" s="277"/>
      <c r="C521" s="52" t="str">
        <f t="shared" si="45"/>
        <v>6UXCATIVA</v>
      </c>
      <c r="D521" s="52"/>
      <c r="E521" s="53">
        <f>+'CALCULO TARIFAS CC '!$U$45</f>
        <v>0.82386810577067515</v>
      </c>
      <c r="F521" s="54">
        <f t="shared" si="50"/>
        <v>166.22210000000001</v>
      </c>
      <c r="G521" s="55">
        <f t="shared" si="51"/>
        <v>136.94999999999999</v>
      </c>
      <c r="H521" s="49" t="s">
        <v>276</v>
      </c>
      <c r="I521" s="38" t="s">
        <v>633</v>
      </c>
      <c r="J521" s="38">
        <v>166.22206199999999</v>
      </c>
      <c r="K521" s="38"/>
      <c r="L521" s="381"/>
      <c r="M521" s="381"/>
      <c r="N521" s="269"/>
      <c r="O521" s="269"/>
      <c r="P521" s="283"/>
      <c r="Q521" s="269"/>
      <c r="R521" s="269"/>
      <c r="S521" s="38"/>
      <c r="T521" s="38"/>
      <c r="U521" s="38"/>
      <c r="V521" s="38"/>
      <c r="W521" s="38"/>
      <c r="X521" s="38"/>
      <c r="Y521" s="38"/>
      <c r="Z521" s="38"/>
    </row>
    <row r="522" spans="1:26" s="376" customFormat="1" x14ac:dyDescent="0.25">
      <c r="A522" s="280">
        <f t="shared" ref="A522:A540" si="53">A521+1</f>
        <v>520</v>
      </c>
      <c r="B522" s="277"/>
      <c r="C522" s="52" t="str">
        <f t="shared" si="45"/>
        <v>6UXCHANG</v>
      </c>
      <c r="D522" s="52"/>
      <c r="E522" s="53">
        <f>+'CALCULO TARIFAS CC '!$U$45</f>
        <v>0.82386810577067515</v>
      </c>
      <c r="F522" s="54">
        <f t="shared" si="50"/>
        <v>48.862200000000001</v>
      </c>
      <c r="G522" s="55">
        <f t="shared" si="51"/>
        <v>40.26</v>
      </c>
      <c r="H522" s="49" t="s">
        <v>276</v>
      </c>
      <c r="I522" s="38" t="s">
        <v>634</v>
      </c>
      <c r="J522" s="38">
        <v>48.862190200000001</v>
      </c>
      <c r="K522" s="38"/>
      <c r="L522" s="381"/>
      <c r="M522" s="381"/>
      <c r="N522" s="269"/>
      <c r="O522" s="269"/>
      <c r="P522" s="283"/>
      <c r="Q522" s="269"/>
      <c r="R522" s="269"/>
      <c r="S522" s="38"/>
      <c r="T522" s="38"/>
      <c r="U522" s="38"/>
      <c r="V522" s="38"/>
      <c r="W522" s="38"/>
      <c r="X522" s="38"/>
      <c r="Y522" s="38"/>
      <c r="Z522" s="38"/>
    </row>
    <row r="523" spans="1:26" s="376" customFormat="1" x14ac:dyDescent="0.25">
      <c r="A523" s="280">
        <f t="shared" si="53"/>
        <v>521</v>
      </c>
      <c r="B523" s="277"/>
      <c r="C523" s="52" t="str">
        <f t="shared" si="45"/>
        <v>6UXCHITRE</v>
      </c>
      <c r="D523" s="52"/>
      <c r="E523" s="53">
        <f>+'CALCULO TARIFAS CC '!$U$45</f>
        <v>0.82386810577067515</v>
      </c>
      <c r="F523" s="54">
        <f t="shared" si="50"/>
        <v>208.6585</v>
      </c>
      <c r="G523" s="55">
        <f t="shared" si="51"/>
        <v>171.91</v>
      </c>
      <c r="H523" s="49" t="s">
        <v>276</v>
      </c>
      <c r="I523" s="38" t="s">
        <v>377</v>
      </c>
      <c r="J523" s="38">
        <v>208.65847930000001</v>
      </c>
      <c r="K523" s="38"/>
      <c r="L523" s="381"/>
      <c r="M523" s="381"/>
      <c r="N523" s="269"/>
      <c r="O523" s="269"/>
      <c r="P523" s="283"/>
      <c r="Q523" s="269"/>
      <c r="R523" s="269"/>
      <c r="S523" s="38"/>
      <c r="T523" s="38"/>
      <c r="U523" s="38"/>
      <c r="V523" s="38"/>
      <c r="W523" s="38"/>
      <c r="X523" s="38"/>
      <c r="Y523" s="38"/>
      <c r="Z523" s="38"/>
    </row>
    <row r="524" spans="1:26" s="376" customFormat="1" x14ac:dyDescent="0.25">
      <c r="A524" s="280">
        <f t="shared" si="53"/>
        <v>522</v>
      </c>
      <c r="B524" s="277"/>
      <c r="C524" s="52" t="str">
        <f t="shared" si="45"/>
        <v>6UXCHORRILLO</v>
      </c>
      <c r="D524" s="52"/>
      <c r="E524" s="53">
        <f>+'CALCULO TARIFAS CC '!$U$45</f>
        <v>0.82386810577067515</v>
      </c>
      <c r="F524" s="54">
        <f t="shared" si="50"/>
        <v>115.0115</v>
      </c>
      <c r="G524" s="55">
        <f t="shared" si="51"/>
        <v>94.75</v>
      </c>
      <c r="H524" s="49" t="s">
        <v>276</v>
      </c>
      <c r="I524" s="38" t="s">
        <v>635</v>
      </c>
      <c r="J524" s="38">
        <v>115.0114895</v>
      </c>
      <c r="K524" s="38"/>
      <c r="L524" s="381"/>
      <c r="M524" s="381"/>
      <c r="N524" s="269"/>
      <c r="O524" s="269"/>
      <c r="P524" s="283"/>
      <c r="Q524" s="269"/>
      <c r="R524" s="269"/>
      <c r="S524" s="38"/>
      <c r="T524" s="38"/>
      <c r="U524" s="38"/>
      <c r="V524" s="38"/>
      <c r="W524" s="38"/>
      <c r="X524" s="38"/>
      <c r="Y524" s="38"/>
      <c r="Z524" s="38"/>
    </row>
    <row r="525" spans="1:26" s="376" customFormat="1" x14ac:dyDescent="0.25">
      <c r="A525" s="280">
        <f t="shared" si="53"/>
        <v>523</v>
      </c>
      <c r="B525" s="277"/>
      <c r="C525" s="52" t="str">
        <f t="shared" si="45"/>
        <v>6UXCREY</v>
      </c>
      <c r="D525" s="52"/>
      <c r="E525" s="53">
        <f>+'CALCULO TARIFAS CC '!$U$45</f>
        <v>0.82386810577067515</v>
      </c>
      <c r="F525" s="54">
        <f t="shared" si="50"/>
        <v>253.12379999999999</v>
      </c>
      <c r="G525" s="55">
        <f t="shared" si="51"/>
        <v>208.54</v>
      </c>
      <c r="H525" s="49" t="s">
        <v>276</v>
      </c>
      <c r="I525" s="38" t="s">
        <v>380</v>
      </c>
      <c r="J525" s="38">
        <v>253.12381060000001</v>
      </c>
      <c r="K525" s="38"/>
      <c r="L525" s="381"/>
      <c r="M525" s="381"/>
      <c r="N525" s="269"/>
      <c r="O525" s="269"/>
      <c r="P525" s="283"/>
      <c r="Q525" s="269"/>
      <c r="R525" s="269"/>
      <c r="S525" s="38"/>
      <c r="T525" s="38"/>
      <c r="U525" s="38"/>
      <c r="V525" s="38"/>
      <c r="W525" s="38"/>
      <c r="X525" s="38"/>
      <c r="Y525" s="38"/>
      <c r="Z525" s="38"/>
    </row>
    <row r="526" spans="1:26" s="376" customFormat="1" x14ac:dyDescent="0.25">
      <c r="A526" s="280">
        <f t="shared" si="53"/>
        <v>524</v>
      </c>
      <c r="B526" s="277"/>
      <c r="C526" s="52" t="str">
        <f t="shared" ref="C526:C540" si="54">I526</f>
        <v>6UXDAVID</v>
      </c>
      <c r="D526" s="52"/>
      <c r="E526" s="53">
        <f>+'CALCULO TARIFAS CC '!$U$45</f>
        <v>0.82386810577067515</v>
      </c>
      <c r="F526" s="54">
        <f t="shared" si="50"/>
        <v>187.44319999999999</v>
      </c>
      <c r="G526" s="55">
        <f t="shared" si="51"/>
        <v>154.43</v>
      </c>
      <c r="H526" s="49" t="s">
        <v>276</v>
      </c>
      <c r="I526" s="38" t="s">
        <v>379</v>
      </c>
      <c r="J526" s="38">
        <v>187.44321009999999</v>
      </c>
      <c r="K526" s="38"/>
      <c r="L526" s="381"/>
      <c r="M526" s="381"/>
      <c r="N526" s="269"/>
      <c r="O526" s="269"/>
      <c r="P526" s="283"/>
      <c r="Q526" s="269"/>
      <c r="R526" s="269"/>
      <c r="S526" s="38"/>
      <c r="T526" s="38"/>
      <c r="U526" s="38"/>
      <c r="V526" s="38"/>
      <c r="W526" s="38"/>
      <c r="X526" s="38"/>
      <c r="Y526" s="38"/>
      <c r="Z526" s="38"/>
    </row>
    <row r="527" spans="1:26" s="376" customFormat="1" x14ac:dyDescent="0.25">
      <c r="A527" s="280">
        <f t="shared" si="53"/>
        <v>525</v>
      </c>
      <c r="B527" s="277"/>
      <c r="C527" s="52" t="str">
        <f t="shared" si="54"/>
        <v>6UXELCOCO</v>
      </c>
      <c r="D527" s="52"/>
      <c r="E527" s="53">
        <f>+'CALCULO TARIFAS CC '!$U$45</f>
        <v>0.82386810577067515</v>
      </c>
      <c r="F527" s="54">
        <f t="shared" si="50"/>
        <v>284.88549999999998</v>
      </c>
      <c r="G527" s="55">
        <f t="shared" si="51"/>
        <v>234.71</v>
      </c>
      <c r="H527" s="49" t="s">
        <v>276</v>
      </c>
      <c r="I527" s="38" t="s">
        <v>434</v>
      </c>
      <c r="J527" s="38">
        <v>284.88554140000002</v>
      </c>
      <c r="K527" s="38"/>
      <c r="L527" s="381"/>
      <c r="M527" s="381"/>
      <c r="N527" s="269"/>
      <c r="O527" s="269"/>
      <c r="P527" s="283"/>
      <c r="Q527" s="269"/>
      <c r="R527" s="269"/>
      <c r="S527" s="38"/>
      <c r="T527" s="38"/>
      <c r="U527" s="38"/>
      <c r="V527" s="38"/>
      <c r="W527" s="38"/>
      <c r="X527" s="38"/>
      <c r="Y527" s="38"/>
      <c r="Z527" s="38"/>
    </row>
    <row r="528" spans="1:26" s="376" customFormat="1" x14ac:dyDescent="0.25">
      <c r="A528" s="280">
        <f t="shared" si="53"/>
        <v>526</v>
      </c>
      <c r="B528" s="277"/>
      <c r="C528" s="52" t="str">
        <f t="shared" si="54"/>
        <v>6UXLAGO</v>
      </c>
      <c r="D528" s="52"/>
      <c r="E528" s="53">
        <f>+'CALCULO TARIFAS CC '!$U$45</f>
        <v>0.82386810577067515</v>
      </c>
      <c r="F528" s="54">
        <f t="shared" si="50"/>
        <v>140.89830000000001</v>
      </c>
      <c r="G528" s="55">
        <f t="shared" si="51"/>
        <v>116.08</v>
      </c>
      <c r="H528" s="49" t="s">
        <v>276</v>
      </c>
      <c r="I528" s="38" t="s">
        <v>381</v>
      </c>
      <c r="J528" s="38">
        <v>140.89830610000001</v>
      </c>
      <c r="K528" s="38"/>
      <c r="L528" s="381"/>
      <c r="M528" s="381"/>
      <c r="N528" s="269"/>
      <c r="O528" s="269"/>
      <c r="P528" s="283"/>
      <c r="Q528" s="269"/>
      <c r="R528" s="269"/>
      <c r="S528" s="38"/>
      <c r="T528" s="38"/>
      <c r="U528" s="38"/>
      <c r="V528" s="38"/>
      <c r="W528" s="38"/>
      <c r="X528" s="38"/>
      <c r="Y528" s="38"/>
      <c r="Z528" s="38"/>
    </row>
    <row r="529" spans="1:27" s="376" customFormat="1" x14ac:dyDescent="0.25">
      <c r="A529" s="280">
        <f t="shared" si="53"/>
        <v>527</v>
      </c>
      <c r="B529" s="277"/>
      <c r="C529" s="52" t="str">
        <f t="shared" si="54"/>
        <v>6UXMRICO</v>
      </c>
      <c r="D529" s="52"/>
      <c r="E529" s="53">
        <f>+'CALCULO TARIFAS CC '!$U$45</f>
        <v>0.82386810577067515</v>
      </c>
      <c r="F529" s="54">
        <f t="shared" si="50"/>
        <v>299.28649999999999</v>
      </c>
      <c r="G529" s="55">
        <f t="shared" si="51"/>
        <v>246.57</v>
      </c>
      <c r="H529" s="49" t="s">
        <v>276</v>
      </c>
      <c r="I529" s="38" t="s">
        <v>384</v>
      </c>
      <c r="J529" s="38">
        <v>299.28652210000001</v>
      </c>
      <c r="K529" s="38"/>
      <c r="L529" s="381"/>
      <c r="M529" s="381"/>
      <c r="N529" s="269"/>
      <c r="O529" s="269"/>
      <c r="P529" s="283"/>
      <c r="Q529" s="269"/>
      <c r="R529" s="269"/>
      <c r="S529" s="38"/>
      <c r="T529" s="38"/>
      <c r="U529" s="38"/>
      <c r="V529" s="38"/>
      <c r="W529" s="38"/>
      <c r="X529" s="38"/>
      <c r="Y529" s="38"/>
      <c r="Z529" s="38"/>
    </row>
    <row r="530" spans="1:27" s="376" customFormat="1" x14ac:dyDescent="0.25">
      <c r="A530" s="280">
        <f t="shared" si="53"/>
        <v>528</v>
      </c>
      <c r="B530" s="277"/>
      <c r="C530" s="52" t="str">
        <f t="shared" si="54"/>
        <v>6UXOAGUA</v>
      </c>
      <c r="D530" s="52"/>
      <c r="E530" s="53">
        <f>+'CALCULO TARIFAS CC '!$U$45</f>
        <v>0.82386810577067515</v>
      </c>
      <c r="F530" s="54">
        <f t="shared" si="50"/>
        <v>339.0684</v>
      </c>
      <c r="G530" s="55">
        <f t="shared" si="51"/>
        <v>279.35000000000002</v>
      </c>
      <c r="H530" s="49" t="s">
        <v>276</v>
      </c>
      <c r="I530" s="38" t="s">
        <v>386</v>
      </c>
      <c r="J530" s="38">
        <v>339.0684172</v>
      </c>
      <c r="K530" s="38"/>
      <c r="L530" s="381"/>
      <c r="M530" s="381"/>
      <c r="N530" s="269"/>
      <c r="O530" s="269"/>
      <c r="P530" s="283"/>
      <c r="Q530" s="269"/>
      <c r="R530" s="269"/>
      <c r="S530" s="38"/>
      <c r="T530" s="38"/>
      <c r="U530" s="38"/>
      <c r="V530" s="38"/>
      <c r="W530" s="38"/>
      <c r="X530" s="38"/>
      <c r="Y530" s="38"/>
      <c r="Z530" s="38"/>
    </row>
    <row r="531" spans="1:27" s="376" customFormat="1" x14ac:dyDescent="0.25">
      <c r="A531" s="280">
        <f t="shared" si="53"/>
        <v>529</v>
      </c>
      <c r="B531" s="277"/>
      <c r="C531" s="52" t="str">
        <f t="shared" si="54"/>
        <v>6UXOFICENT</v>
      </c>
      <c r="D531" s="52"/>
      <c r="E531" s="53">
        <f>+'CALCULO TARIFAS CC '!$U$45</f>
        <v>0.82386810577067515</v>
      </c>
      <c r="F531" s="54">
        <f t="shared" si="50"/>
        <v>85.760099999999994</v>
      </c>
      <c r="G531" s="55">
        <f t="shared" si="51"/>
        <v>70.66</v>
      </c>
      <c r="H531" s="49" t="s">
        <v>276</v>
      </c>
      <c r="I531" s="38" t="s">
        <v>385</v>
      </c>
      <c r="J531" s="38">
        <v>85.760085700000005</v>
      </c>
      <c r="K531" s="38"/>
      <c r="L531" s="381"/>
      <c r="M531" s="381"/>
      <c r="N531" s="269"/>
      <c r="O531" s="269"/>
      <c r="P531" s="283"/>
      <c r="Q531" s="269"/>
      <c r="R531" s="269"/>
      <c r="S531" s="38"/>
      <c r="T531" s="38"/>
      <c r="U531" s="38"/>
      <c r="V531" s="38"/>
      <c r="W531" s="38"/>
      <c r="X531" s="38"/>
      <c r="Y531" s="38"/>
      <c r="Z531" s="38"/>
    </row>
    <row r="532" spans="1:27" s="376" customFormat="1" x14ac:dyDescent="0.25">
      <c r="A532" s="280">
        <f t="shared" si="53"/>
        <v>530</v>
      </c>
      <c r="B532" s="277"/>
      <c r="C532" s="52" t="str">
        <f t="shared" si="54"/>
        <v>6UXPACORA</v>
      </c>
      <c r="D532" s="52"/>
      <c r="E532" s="53">
        <f>+'CALCULO TARIFAS CC '!$U$45</f>
        <v>0.82386810577067515</v>
      </c>
      <c r="F532" s="54">
        <f t="shared" si="50"/>
        <v>136.78460000000001</v>
      </c>
      <c r="G532" s="55">
        <f t="shared" si="51"/>
        <v>112.69</v>
      </c>
      <c r="H532" s="49" t="s">
        <v>276</v>
      </c>
      <c r="I532" s="38" t="s">
        <v>387</v>
      </c>
      <c r="J532" s="38">
        <v>136.7846146</v>
      </c>
      <c r="K532" s="38"/>
      <c r="L532" s="381"/>
      <c r="M532" s="381"/>
      <c r="N532" s="269"/>
      <c r="O532" s="269"/>
      <c r="P532" s="283"/>
      <c r="Q532" s="269"/>
      <c r="R532" s="269"/>
      <c r="S532" s="38"/>
      <c r="T532" s="38"/>
      <c r="U532" s="38"/>
      <c r="V532" s="38"/>
      <c r="W532" s="38"/>
      <c r="X532" s="38"/>
      <c r="Y532" s="38"/>
      <c r="Z532" s="38"/>
    </row>
    <row r="533" spans="1:27" s="376" customFormat="1" x14ac:dyDescent="0.25">
      <c r="A533" s="280">
        <f t="shared" si="53"/>
        <v>531</v>
      </c>
      <c r="B533" s="277"/>
      <c r="C533" s="52" t="str">
        <f t="shared" si="54"/>
        <v>6UXPNOME</v>
      </c>
      <c r="D533" s="52"/>
      <c r="E533" s="53">
        <f>+'CALCULO TARIFAS CC '!$U$45</f>
        <v>0.82386810577067515</v>
      </c>
      <c r="F533" s="54">
        <f t="shared" si="50"/>
        <v>132.36000000000001</v>
      </c>
      <c r="G533" s="55">
        <f t="shared" si="51"/>
        <v>109.05</v>
      </c>
      <c r="H533" s="49" t="s">
        <v>276</v>
      </c>
      <c r="I533" s="38" t="s">
        <v>594</v>
      </c>
      <c r="J533" s="38">
        <v>132.35997570000001</v>
      </c>
      <c r="K533" s="38"/>
      <c r="L533" s="381"/>
      <c r="M533" s="381"/>
      <c r="N533" s="269"/>
      <c r="O533" s="269"/>
      <c r="P533" s="283"/>
      <c r="Q533" s="269"/>
      <c r="R533" s="269"/>
      <c r="S533" s="38"/>
      <c r="T533" s="38"/>
      <c r="U533" s="38"/>
      <c r="V533" s="38"/>
      <c r="W533" s="38"/>
      <c r="X533" s="38"/>
      <c r="Y533" s="38"/>
      <c r="Z533" s="38"/>
    </row>
    <row r="534" spans="1:27" s="376" customFormat="1" x14ac:dyDescent="0.25">
      <c r="A534" s="280">
        <f t="shared" si="53"/>
        <v>532</v>
      </c>
      <c r="B534" s="277"/>
      <c r="C534" s="52" t="str">
        <f t="shared" si="54"/>
        <v>6UXPUEBLO</v>
      </c>
      <c r="D534" s="52"/>
      <c r="E534" s="53">
        <f>+'CALCULO TARIFAS CC '!$U$45</f>
        <v>0.82386810577067515</v>
      </c>
      <c r="F534" s="54">
        <f t="shared" si="50"/>
        <v>240.4111</v>
      </c>
      <c r="G534" s="55">
        <f t="shared" si="51"/>
        <v>198.07</v>
      </c>
      <c r="H534" s="49" t="s">
        <v>276</v>
      </c>
      <c r="I534" s="38" t="s">
        <v>383</v>
      </c>
      <c r="J534" s="38">
        <v>240.411147</v>
      </c>
      <c r="K534" s="38"/>
      <c r="L534" s="381"/>
      <c r="M534" s="381"/>
      <c r="N534" s="269"/>
      <c r="O534" s="269"/>
      <c r="P534" s="283"/>
      <c r="Q534" s="269"/>
      <c r="R534" s="269"/>
      <c r="S534" s="38"/>
      <c r="T534" s="38"/>
      <c r="U534" s="38"/>
      <c r="V534" s="38"/>
      <c r="W534" s="38"/>
      <c r="X534" s="38"/>
      <c r="Y534" s="38"/>
      <c r="Z534" s="38"/>
    </row>
    <row r="535" spans="1:27" s="376" customFormat="1" x14ac:dyDescent="0.25">
      <c r="A535" s="280">
        <f t="shared" si="53"/>
        <v>533</v>
      </c>
      <c r="B535" s="277"/>
      <c r="C535" s="52" t="str">
        <f t="shared" si="54"/>
        <v>6UXSBANITA</v>
      </c>
      <c r="D535" s="52"/>
      <c r="E535" s="53">
        <f>+'CALCULO TARIFAS CC '!$U$45</f>
        <v>0.82386810577067515</v>
      </c>
      <c r="F535" s="54">
        <f t="shared" si="50"/>
        <v>105.15170000000001</v>
      </c>
      <c r="G535" s="55">
        <f t="shared" si="51"/>
        <v>86.63</v>
      </c>
      <c r="H535" s="49" t="s">
        <v>276</v>
      </c>
      <c r="I535" s="38" t="s">
        <v>376</v>
      </c>
      <c r="J535" s="38">
        <v>105.151713</v>
      </c>
      <c r="K535" s="38"/>
      <c r="L535" s="381"/>
      <c r="M535" s="381"/>
      <c r="N535" s="269"/>
      <c r="O535" s="269"/>
      <c r="P535" s="283"/>
      <c r="Q535" s="269"/>
      <c r="R535" s="269"/>
      <c r="S535" s="38"/>
      <c r="T535" s="38"/>
      <c r="U535" s="38"/>
      <c r="V535" s="38"/>
      <c r="W535" s="38"/>
      <c r="X535" s="38"/>
      <c r="Y535" s="38"/>
      <c r="Z535" s="38"/>
    </row>
    <row r="536" spans="1:27" s="376" customFormat="1" x14ac:dyDescent="0.25">
      <c r="A536" s="280">
        <f t="shared" si="53"/>
        <v>534</v>
      </c>
      <c r="B536" s="277"/>
      <c r="C536" s="52" t="str">
        <f t="shared" si="54"/>
        <v>6UXSMGTO</v>
      </c>
      <c r="D536" s="52"/>
      <c r="E536" s="53">
        <f>+'CALCULO TARIFAS CC '!$U$45</f>
        <v>0.82386810577067515</v>
      </c>
      <c r="F536" s="54">
        <f t="shared" si="50"/>
        <v>207.43469999999999</v>
      </c>
      <c r="G536" s="55">
        <f t="shared" si="51"/>
        <v>170.9</v>
      </c>
      <c r="H536" s="49" t="s">
        <v>276</v>
      </c>
      <c r="I536" s="38" t="s">
        <v>388</v>
      </c>
      <c r="J536" s="38">
        <v>207.4347305</v>
      </c>
      <c r="K536" s="38"/>
      <c r="L536" s="381"/>
      <c r="M536" s="381"/>
      <c r="N536" s="269"/>
      <c r="O536" s="269"/>
      <c r="P536" s="283"/>
      <c r="Q536" s="269"/>
      <c r="R536" s="269"/>
      <c r="S536" s="38"/>
      <c r="T536" s="38"/>
      <c r="U536" s="38"/>
      <c r="V536" s="38"/>
      <c r="W536" s="38"/>
      <c r="X536" s="38"/>
      <c r="Y536" s="38"/>
      <c r="Z536" s="38"/>
    </row>
    <row r="537" spans="1:27" s="376" customFormat="1" x14ac:dyDescent="0.25">
      <c r="A537" s="280">
        <f t="shared" si="53"/>
        <v>535</v>
      </c>
      <c r="B537" s="277"/>
      <c r="C537" s="52" t="str">
        <f t="shared" si="54"/>
        <v>6UXSTGO</v>
      </c>
      <c r="D537" s="52"/>
      <c r="E537" s="53">
        <f>+'CALCULO TARIFAS CC '!$U$45</f>
        <v>0.82386810577067515</v>
      </c>
      <c r="F537" s="54">
        <f t="shared" si="50"/>
        <v>101.5604</v>
      </c>
      <c r="G537" s="55">
        <f t="shared" si="51"/>
        <v>83.67</v>
      </c>
      <c r="H537" s="49" t="s">
        <v>276</v>
      </c>
      <c r="I537" s="38" t="s">
        <v>378</v>
      </c>
      <c r="J537" s="38">
        <v>101.5604002</v>
      </c>
      <c r="K537" s="38"/>
      <c r="L537" s="381"/>
      <c r="M537" s="381"/>
      <c r="N537" s="269"/>
      <c r="O537" s="269"/>
      <c r="P537" s="283"/>
      <c r="Q537" s="269"/>
      <c r="R537" s="269"/>
      <c r="S537" s="38"/>
      <c r="T537" s="38"/>
      <c r="U537" s="38"/>
      <c r="V537" s="38"/>
      <c r="W537" s="38"/>
      <c r="X537" s="38"/>
      <c r="Y537" s="38"/>
      <c r="Z537" s="38"/>
    </row>
    <row r="538" spans="1:27" s="376" customFormat="1" x14ac:dyDescent="0.25">
      <c r="A538" s="280">
        <f t="shared" si="53"/>
        <v>536</v>
      </c>
      <c r="B538" s="277"/>
      <c r="C538" s="52" t="str">
        <f t="shared" si="54"/>
        <v>6UXTRANSIST</v>
      </c>
      <c r="D538" s="52"/>
      <c r="E538" s="53">
        <f>+'CALCULO TARIFAS CC '!$U$45</f>
        <v>0.82386810577067515</v>
      </c>
      <c r="F538" s="54">
        <f t="shared" si="50"/>
        <v>187.21039999999999</v>
      </c>
      <c r="G538" s="55">
        <f t="shared" si="51"/>
        <v>154.24</v>
      </c>
      <c r="H538" s="49" t="s">
        <v>276</v>
      </c>
      <c r="I538" s="38" t="s">
        <v>636</v>
      </c>
      <c r="J538" s="38">
        <v>187.21043449999999</v>
      </c>
      <c r="K538" s="38"/>
      <c r="L538" s="381"/>
      <c r="M538" s="381"/>
      <c r="N538" s="269"/>
      <c r="O538" s="269"/>
      <c r="P538" s="283"/>
      <c r="Q538" s="269"/>
      <c r="R538" s="269"/>
      <c r="S538" s="38"/>
      <c r="T538" s="38"/>
      <c r="U538" s="38"/>
      <c r="V538" s="38"/>
      <c r="W538" s="38"/>
      <c r="X538" s="38"/>
      <c r="Y538" s="38"/>
      <c r="Z538" s="38"/>
    </row>
    <row r="539" spans="1:27" s="376" customFormat="1" x14ac:dyDescent="0.25">
      <c r="A539" s="280">
        <f t="shared" si="53"/>
        <v>537</v>
      </c>
      <c r="B539" s="277"/>
      <c r="C539" s="52" t="str">
        <f t="shared" si="54"/>
        <v>6UXVALEGRE</v>
      </c>
      <c r="D539" s="52"/>
      <c r="E539" s="53">
        <f>+'CALCULO TARIFAS CC '!$U$45</f>
        <v>0.82386810577067515</v>
      </c>
      <c r="F539" s="54">
        <f t="shared" si="50"/>
        <v>217.83359999999999</v>
      </c>
      <c r="G539" s="55">
        <f t="shared" si="51"/>
        <v>179.47</v>
      </c>
      <c r="H539" s="49" t="s">
        <v>276</v>
      </c>
      <c r="I539" s="38" t="s">
        <v>412</v>
      </c>
      <c r="J539" s="38">
        <v>217.83359759999999</v>
      </c>
      <c r="K539" s="38"/>
      <c r="L539" s="381"/>
      <c r="M539" s="381"/>
      <c r="N539" s="269"/>
      <c r="O539" s="269"/>
      <c r="P539" s="283"/>
      <c r="Q539" s="269"/>
      <c r="R539" s="269"/>
      <c r="S539" s="38"/>
      <c r="T539" s="38"/>
      <c r="U539" s="38"/>
      <c r="V539" s="38"/>
      <c r="W539" s="38"/>
      <c r="X539" s="38"/>
      <c r="Y539" s="38"/>
      <c r="Z539" s="38"/>
    </row>
    <row r="540" spans="1:27" s="376" customFormat="1" x14ac:dyDescent="0.25">
      <c r="A540" s="280">
        <f t="shared" si="53"/>
        <v>538</v>
      </c>
      <c r="B540" s="277"/>
      <c r="C540" s="52" t="str">
        <f t="shared" si="54"/>
        <v>6UXVLUCRE</v>
      </c>
      <c r="D540" s="52"/>
      <c r="E540" s="53">
        <f>+'CALCULO TARIFAS CC '!$U$45</f>
        <v>0.82386810577067515</v>
      </c>
      <c r="F540" s="54">
        <f t="shared" si="50"/>
        <v>91.980400000000003</v>
      </c>
      <c r="G540" s="55">
        <f t="shared" si="51"/>
        <v>75.78</v>
      </c>
      <c r="H540" s="49" t="s">
        <v>276</v>
      </c>
      <c r="I540" s="38" t="s">
        <v>389</v>
      </c>
      <c r="J540" s="38">
        <v>91.980409699999996</v>
      </c>
      <c r="K540" s="38"/>
      <c r="L540" s="381"/>
      <c r="M540" s="381"/>
      <c r="N540" s="269"/>
      <c r="O540" s="269"/>
      <c r="P540" s="283"/>
      <c r="Q540" s="269"/>
      <c r="R540" s="269"/>
      <c r="S540" s="38"/>
      <c r="T540" s="38"/>
      <c r="U540" s="38"/>
      <c r="V540" s="38"/>
      <c r="W540" s="38"/>
      <c r="X540" s="38"/>
      <c r="Y540" s="38"/>
      <c r="Z540" s="38"/>
    </row>
    <row r="541" spans="1:27" ht="12.75" customHeight="1" thickBot="1" x14ac:dyDescent="0.3">
      <c r="A541" s="278"/>
      <c r="B541" s="320"/>
      <c r="C541" s="321" t="s">
        <v>305</v>
      </c>
      <c r="D541" s="321"/>
      <c r="E541" s="321"/>
      <c r="F541" s="322">
        <f>ROUND(SUM(F3:F540),4)</f>
        <v>737556.08010000002</v>
      </c>
      <c r="G541" s="323">
        <f>SUM(G3:G540)</f>
        <v>607648.99000000022</v>
      </c>
      <c r="H541" s="37"/>
      <c r="I541" s="37"/>
      <c r="J541" s="38"/>
      <c r="K541" s="38"/>
      <c r="N541" s="269"/>
      <c r="O541" s="269"/>
      <c r="P541" s="38"/>
      <c r="Q541" s="269"/>
      <c r="R541" s="269"/>
      <c r="S541" s="38"/>
      <c r="T541" s="38"/>
      <c r="U541" s="38"/>
      <c r="V541" s="38"/>
      <c r="W541" s="38"/>
      <c r="X541" s="38"/>
      <c r="Y541" s="38"/>
      <c r="Z541" s="38"/>
    </row>
    <row r="542" spans="1:27" ht="15.75" thickBot="1" x14ac:dyDescent="0.3">
      <c r="A542" s="102">
        <f>A540+1</f>
        <v>539</v>
      </c>
      <c r="B542" s="103" t="s">
        <v>14</v>
      </c>
      <c r="C542" s="104" t="str">
        <f t="shared" ref="C542" si="55">I542</f>
        <v>5DICE</v>
      </c>
      <c r="D542" s="104" t="s">
        <v>307</v>
      </c>
      <c r="E542" s="105">
        <f>+'CALCULO TARIFAS CC '!T45</f>
        <v>1.7013390165477578</v>
      </c>
      <c r="F542" s="99">
        <f t="shared" ref="F542:F580" si="56">ROUND(J542,4)</f>
        <v>781326.03</v>
      </c>
      <c r="G542" s="101">
        <f>+ROUND(F542*E542,2)</f>
        <v>1329300.46</v>
      </c>
      <c r="H542" s="49" t="s">
        <v>302</v>
      </c>
      <c r="I542" s="307" t="s">
        <v>106</v>
      </c>
      <c r="J542" s="208">
        <v>781326.03</v>
      </c>
      <c r="K542" s="38"/>
      <c r="N542" s="269"/>
      <c r="O542" s="269"/>
      <c r="P542" s="38"/>
      <c r="Q542" s="269"/>
      <c r="R542" s="269"/>
      <c r="S542" s="38"/>
      <c r="T542" s="38"/>
      <c r="U542" s="38"/>
      <c r="V542" s="38"/>
      <c r="W542" s="38"/>
      <c r="X542" s="38"/>
      <c r="Y542" s="38"/>
      <c r="Z542" s="38"/>
    </row>
    <row r="543" spans="1:27" ht="12.75" customHeight="1" x14ac:dyDescent="0.25">
      <c r="A543" s="43">
        <f t="shared" ref="A543:A580" si="57">+A542+1</f>
        <v>540</v>
      </c>
      <c r="B543" s="44" t="s">
        <v>13</v>
      </c>
      <c r="C543" s="45" t="str">
        <f>UPPER(I543)</f>
        <v>4DDISNORTE</v>
      </c>
      <c r="D543" s="45"/>
      <c r="E543" s="46">
        <f>+'CALCULO TARIFAS CC '!$S$45</f>
        <v>0.81043158584157549</v>
      </c>
      <c r="F543" s="106">
        <f t="shared" si="56"/>
        <v>174551.24</v>
      </c>
      <c r="G543" s="48">
        <f>+ROUND(F543*E543,2)</f>
        <v>141461.84</v>
      </c>
      <c r="H543" s="49" t="s">
        <v>299</v>
      </c>
      <c r="I543" s="81" t="s">
        <v>107</v>
      </c>
      <c r="J543" s="108">
        <v>174551.24</v>
      </c>
      <c r="K543" s="38"/>
      <c r="N543" s="269"/>
      <c r="O543" s="269"/>
      <c r="P543" s="269"/>
      <c r="Q543" s="269"/>
      <c r="R543" s="269"/>
      <c r="S543" s="38"/>
      <c r="T543" s="38"/>
      <c r="U543" s="38"/>
      <c r="V543" s="38"/>
      <c r="W543" s="38"/>
      <c r="X543" s="38"/>
      <c r="Y543" s="38"/>
      <c r="Z543" s="38"/>
      <c r="AA543" s="209"/>
    </row>
    <row r="544" spans="1:27" ht="14.25" customHeight="1" x14ac:dyDescent="0.25">
      <c r="A544" s="50">
        <f t="shared" si="57"/>
        <v>541</v>
      </c>
      <c r="B544" s="51"/>
      <c r="C544" s="52" t="str">
        <f t="shared" ref="C544:C580" si="58">UPPER(I544)</f>
        <v>4DDISSUR</v>
      </c>
      <c r="D544" s="52"/>
      <c r="E544" s="53">
        <f>+'CALCULO TARIFAS CC '!$S$45</f>
        <v>0.81043158584157549</v>
      </c>
      <c r="F544" s="110">
        <f t="shared" si="56"/>
        <v>162310.88500000001</v>
      </c>
      <c r="G544" s="55">
        <f>+ROUND(F544*E544,2)</f>
        <v>131541.87</v>
      </c>
      <c r="H544" s="49" t="s">
        <v>299</v>
      </c>
      <c r="I544" s="81" t="s">
        <v>108</v>
      </c>
      <c r="J544" s="108">
        <v>162310.88500000001</v>
      </c>
      <c r="K544" s="38"/>
      <c r="N544" s="269"/>
      <c r="O544" s="269"/>
      <c r="P544" s="38"/>
      <c r="Q544" s="269"/>
      <c r="R544" s="269"/>
      <c r="S544" s="38"/>
      <c r="T544" s="38"/>
      <c r="U544" s="38"/>
      <c r="V544" s="38"/>
      <c r="W544" s="38"/>
      <c r="X544" s="38"/>
      <c r="Y544" s="38"/>
      <c r="Z544" s="38"/>
      <c r="AA544" s="209"/>
    </row>
    <row r="545" spans="1:27" ht="14.25" customHeight="1" x14ac:dyDescent="0.25">
      <c r="A545" s="50">
        <f t="shared" si="57"/>
        <v>542</v>
      </c>
      <c r="B545" s="51"/>
      <c r="C545" s="52" t="str">
        <f t="shared" si="58"/>
        <v>4DENELBLUE</v>
      </c>
      <c r="D545" s="52"/>
      <c r="E545" s="53">
        <f>+'CALCULO TARIFAS CC '!$S$45</f>
        <v>0.81043158584157549</v>
      </c>
      <c r="F545" s="110">
        <f t="shared" si="56"/>
        <v>2860.4859999999999</v>
      </c>
      <c r="G545" s="55">
        <f>+ROUND(F545*E545,2)</f>
        <v>2318.23</v>
      </c>
      <c r="H545" s="49" t="s">
        <v>299</v>
      </c>
      <c r="I545" s="81" t="s">
        <v>109</v>
      </c>
      <c r="J545" s="108">
        <v>2860.4859999999999</v>
      </c>
      <c r="K545" s="38"/>
      <c r="N545" s="269"/>
      <c r="O545" s="269"/>
      <c r="P545" s="38"/>
      <c r="Q545" s="269"/>
      <c r="R545" s="269"/>
      <c r="S545" s="38"/>
      <c r="T545" s="38"/>
      <c r="U545" s="38"/>
      <c r="V545" s="38"/>
      <c r="W545" s="38"/>
      <c r="X545" s="38"/>
      <c r="Y545" s="38"/>
      <c r="Z545" s="38"/>
      <c r="AA545" s="209"/>
    </row>
    <row r="546" spans="1:27" ht="14.25" customHeight="1" x14ac:dyDescent="0.25">
      <c r="A546" s="50">
        <f t="shared" si="57"/>
        <v>543</v>
      </c>
      <c r="B546" s="51"/>
      <c r="C546" s="52" t="str">
        <f t="shared" si="58"/>
        <v>4DENELMULU</v>
      </c>
      <c r="D546" s="52"/>
      <c r="E546" s="53">
        <f>+'CALCULO TARIFAS CC '!$S$45</f>
        <v>0.81043158584157549</v>
      </c>
      <c r="F546" s="110">
        <f t="shared" si="56"/>
        <v>1116.9359999999999</v>
      </c>
      <c r="G546" s="55">
        <f t="shared" ref="G546:G580" si="59">+ROUND(F546*E546,2)</f>
        <v>905.2</v>
      </c>
      <c r="H546" s="49" t="s">
        <v>299</v>
      </c>
      <c r="I546" s="81" t="s">
        <v>110</v>
      </c>
      <c r="J546" s="114">
        <v>1116.9359999999999</v>
      </c>
      <c r="K546" s="38"/>
      <c r="N546" s="269"/>
      <c r="O546" s="269"/>
      <c r="P546" s="38"/>
      <c r="Q546" s="269"/>
      <c r="R546" s="269"/>
      <c r="S546" s="38"/>
      <c r="T546" s="38"/>
      <c r="U546" s="38"/>
      <c r="V546" s="38"/>
      <c r="W546" s="38"/>
      <c r="X546" s="38"/>
      <c r="Y546" s="38"/>
      <c r="Z546" s="38"/>
      <c r="AA546" s="209"/>
    </row>
    <row r="547" spans="1:27" ht="14.25" customHeight="1" x14ac:dyDescent="0.25">
      <c r="A547" s="50">
        <f t="shared" si="57"/>
        <v>544</v>
      </c>
      <c r="B547" s="51"/>
      <c r="C547" s="52" t="str">
        <f t="shared" si="58"/>
        <v>4DENELSIUN</v>
      </c>
      <c r="D547" s="52"/>
      <c r="E547" s="53">
        <f>+'CALCULO TARIFAS CC '!$S$45</f>
        <v>0.81043158584157549</v>
      </c>
      <c r="F547" s="110">
        <f t="shared" si="56"/>
        <v>3392.7069999999999</v>
      </c>
      <c r="G547" s="55">
        <f>+ROUND(F547*E547,2)</f>
        <v>2749.56</v>
      </c>
      <c r="H547" s="49" t="s">
        <v>299</v>
      </c>
      <c r="I547" s="81" t="s">
        <v>111</v>
      </c>
      <c r="J547" s="108">
        <v>3392.7069999999999</v>
      </c>
      <c r="K547" s="38"/>
      <c r="N547" s="269"/>
      <c r="O547" s="269"/>
      <c r="P547" s="38"/>
      <c r="Q547" s="269"/>
      <c r="R547" s="269"/>
      <c r="S547" s="38"/>
      <c r="T547" s="38"/>
      <c r="U547" s="38"/>
      <c r="V547" s="38"/>
      <c r="W547" s="38"/>
      <c r="X547" s="38"/>
      <c r="Y547" s="38"/>
      <c r="Z547" s="38"/>
      <c r="AA547" s="209"/>
    </row>
    <row r="548" spans="1:27" ht="14.25" customHeight="1" x14ac:dyDescent="0.25">
      <c r="A548" s="50">
        <f t="shared" si="57"/>
        <v>545</v>
      </c>
      <c r="B548" s="51"/>
      <c r="C548" s="52" t="str">
        <f t="shared" si="58"/>
        <v>4GALBAGEN</v>
      </c>
      <c r="D548" s="52"/>
      <c r="E548" s="53">
        <f>+'CALCULO TARIFAS CC '!$S$45</f>
        <v>0.81043158584157549</v>
      </c>
      <c r="F548" s="110">
        <f t="shared" si="56"/>
        <v>3.1880000000000002</v>
      </c>
      <c r="G548" s="55">
        <f t="shared" si="59"/>
        <v>2.58</v>
      </c>
      <c r="H548" s="49" t="s">
        <v>299</v>
      </c>
      <c r="I548" s="81" t="s">
        <v>112</v>
      </c>
      <c r="J548" s="108">
        <v>3.1880000000000002</v>
      </c>
      <c r="K548" s="38"/>
      <c r="N548" s="269"/>
      <c r="O548" s="269"/>
      <c r="P548" s="38"/>
      <c r="Q548" s="269"/>
      <c r="R548" s="269"/>
      <c r="S548" s="38"/>
      <c r="T548" s="38"/>
      <c r="U548" s="38"/>
      <c r="V548" s="38"/>
      <c r="W548" s="38"/>
      <c r="X548" s="38"/>
      <c r="Y548" s="38"/>
      <c r="Z548" s="38"/>
      <c r="AA548" s="209"/>
    </row>
    <row r="549" spans="1:27" ht="14.25" customHeight="1" x14ac:dyDescent="0.25">
      <c r="A549" s="50">
        <f t="shared" si="57"/>
        <v>546</v>
      </c>
      <c r="B549" s="51"/>
      <c r="C549" s="52" t="str">
        <f t="shared" si="58"/>
        <v>4GALBANISA</v>
      </c>
      <c r="D549" s="52"/>
      <c r="E549" s="53">
        <f>+'CALCULO TARIFAS CC '!$S$45</f>
        <v>0.81043158584157549</v>
      </c>
      <c r="F549" s="110">
        <f t="shared" si="56"/>
        <v>655.35900000000004</v>
      </c>
      <c r="G549" s="55">
        <f t="shared" si="59"/>
        <v>531.12</v>
      </c>
      <c r="H549" s="49" t="s">
        <v>299</v>
      </c>
      <c r="I549" s="81" t="s">
        <v>113</v>
      </c>
      <c r="J549" s="108">
        <v>655.35900000000004</v>
      </c>
      <c r="K549" s="38"/>
      <c r="N549" s="269"/>
      <c r="O549" s="269"/>
      <c r="P549" s="38"/>
      <c r="Q549" s="269"/>
      <c r="R549" s="269"/>
      <c r="S549" s="38"/>
      <c r="T549" s="38"/>
      <c r="U549" s="38"/>
      <c r="V549" s="38"/>
      <c r="W549" s="38"/>
      <c r="X549" s="38"/>
      <c r="Y549" s="38"/>
      <c r="Z549" s="38"/>
      <c r="AA549" s="209"/>
    </row>
    <row r="550" spans="1:27" ht="14.25" customHeight="1" x14ac:dyDescent="0.25">
      <c r="A550" s="50">
        <f t="shared" si="57"/>
        <v>547</v>
      </c>
      <c r="B550" s="51"/>
      <c r="C550" s="52" t="str">
        <f t="shared" si="58"/>
        <v>4GAMAYO1</v>
      </c>
      <c r="D550" s="52"/>
      <c r="E550" s="53">
        <f>+'CALCULO TARIFAS CC '!$S$45</f>
        <v>0.81043158584157549</v>
      </c>
      <c r="F550" s="110">
        <f t="shared" si="56"/>
        <v>8.7959999999999994</v>
      </c>
      <c r="G550" s="55">
        <f t="shared" si="59"/>
        <v>7.13</v>
      </c>
      <c r="H550" s="49" t="s">
        <v>299</v>
      </c>
      <c r="I550" s="81" t="s">
        <v>114</v>
      </c>
      <c r="J550" s="108">
        <v>8.7959999999999994</v>
      </c>
      <c r="K550" s="38"/>
      <c r="N550" s="269"/>
      <c r="O550" s="269"/>
      <c r="P550" s="38"/>
      <c r="Q550" s="269"/>
      <c r="R550" s="269"/>
      <c r="S550" s="38"/>
      <c r="T550" s="38"/>
      <c r="U550" s="38"/>
      <c r="V550" s="38"/>
      <c r="W550" s="38"/>
      <c r="X550" s="38"/>
      <c r="Y550" s="38"/>
      <c r="Z550" s="38"/>
      <c r="AA550" s="209"/>
    </row>
    <row r="551" spans="1:27" ht="14.25" customHeight="1" x14ac:dyDescent="0.25">
      <c r="A551" s="50">
        <f t="shared" si="57"/>
        <v>548</v>
      </c>
      <c r="B551" s="51"/>
      <c r="C551" s="52" t="str">
        <f t="shared" si="58"/>
        <v>4GAMAYO2</v>
      </c>
      <c r="D551" s="52"/>
      <c r="E551" s="53">
        <f>+'CALCULO TARIFAS CC '!$S$45</f>
        <v>0.81043158584157549</v>
      </c>
      <c r="F551" s="110">
        <f t="shared" si="56"/>
        <v>5.9279999999999999</v>
      </c>
      <c r="G551" s="55">
        <f t="shared" si="59"/>
        <v>4.8</v>
      </c>
      <c r="H551" s="49" t="s">
        <v>299</v>
      </c>
      <c r="I551" s="81" t="s">
        <v>115</v>
      </c>
      <c r="J551" s="108">
        <v>5.9279999999999999</v>
      </c>
      <c r="K551" s="38"/>
      <c r="N551" s="269"/>
      <c r="O551" s="269"/>
      <c r="P551" s="38"/>
      <c r="Q551" s="269"/>
      <c r="R551" s="269"/>
      <c r="S551" s="38"/>
      <c r="T551" s="38"/>
      <c r="U551" s="38"/>
      <c r="V551" s="38"/>
      <c r="W551" s="38"/>
      <c r="X551" s="38"/>
      <c r="Y551" s="38"/>
      <c r="Z551" s="38"/>
      <c r="AA551" s="209"/>
    </row>
    <row r="552" spans="1:27" ht="14.25" customHeight="1" x14ac:dyDescent="0.25">
      <c r="A552" s="50">
        <f t="shared" si="57"/>
        <v>549</v>
      </c>
      <c r="B552" s="51"/>
      <c r="C552" s="52" t="str">
        <f t="shared" si="58"/>
        <v>4GBPOWER</v>
      </c>
      <c r="D552" s="52"/>
      <c r="E552" s="53">
        <f>+'CALCULO TARIFAS CC '!$S$45</f>
        <v>0.81043158584157549</v>
      </c>
      <c r="F552" s="110">
        <f t="shared" si="56"/>
        <v>12.29</v>
      </c>
      <c r="G552" s="55">
        <f t="shared" si="59"/>
        <v>9.9600000000000009</v>
      </c>
      <c r="H552" s="49" t="s">
        <v>299</v>
      </c>
      <c r="I552" s="81" t="s">
        <v>116</v>
      </c>
      <c r="J552" s="108">
        <v>12.29</v>
      </c>
      <c r="K552" s="38"/>
      <c r="L552" s="371"/>
      <c r="M552" s="371"/>
      <c r="N552" s="269"/>
      <c r="O552" s="269"/>
      <c r="P552" s="38"/>
      <c r="Q552" s="269"/>
      <c r="R552" s="269"/>
      <c r="S552" s="38"/>
      <c r="T552" s="38"/>
      <c r="U552" s="38"/>
      <c r="V552" s="38"/>
      <c r="W552" s="38"/>
      <c r="X552" s="38"/>
      <c r="Y552" s="38"/>
      <c r="Z552" s="38"/>
      <c r="AA552" s="209"/>
    </row>
    <row r="553" spans="1:27" ht="14.25" customHeight="1" x14ac:dyDescent="0.25">
      <c r="A553" s="50">
        <f t="shared" si="57"/>
        <v>550</v>
      </c>
      <c r="B553" s="51"/>
      <c r="C553" s="52" t="str">
        <f t="shared" si="58"/>
        <v>4GEEC-20</v>
      </c>
      <c r="D553" s="52"/>
      <c r="E553" s="53">
        <f>+'CALCULO TARIFAS CC '!$S$45</f>
        <v>0.81043158584157549</v>
      </c>
      <c r="F553" s="110">
        <f t="shared" si="56"/>
        <v>0</v>
      </c>
      <c r="G553" s="55">
        <f t="shared" si="59"/>
        <v>0</v>
      </c>
      <c r="H553" s="49" t="s">
        <v>299</v>
      </c>
      <c r="I553" s="81" t="s">
        <v>117</v>
      </c>
      <c r="J553" s="108">
        <v>0</v>
      </c>
      <c r="K553" s="38"/>
      <c r="L553" s="371"/>
      <c r="M553" s="371"/>
      <c r="N553" s="269"/>
      <c r="O553" s="269"/>
      <c r="P553" s="38"/>
      <c r="Q553" s="269"/>
      <c r="R553" s="269"/>
      <c r="S553" s="38"/>
      <c r="T553" s="38"/>
      <c r="U553" s="38"/>
      <c r="V553" s="38"/>
      <c r="W553" s="38"/>
      <c r="X553" s="38"/>
      <c r="Y553" s="38"/>
      <c r="Z553" s="38"/>
      <c r="AA553" s="209"/>
    </row>
    <row r="554" spans="1:27" ht="14.25" customHeight="1" x14ac:dyDescent="0.25">
      <c r="A554" s="50">
        <f t="shared" si="57"/>
        <v>551</v>
      </c>
      <c r="B554" s="51"/>
      <c r="C554" s="52" t="str">
        <f t="shared" si="58"/>
        <v>4GEGR</v>
      </c>
      <c r="D554" s="52"/>
      <c r="E554" s="53">
        <f>+'CALCULO TARIFAS CC '!$S$45</f>
        <v>0.81043158584157549</v>
      </c>
      <c r="F554" s="110">
        <f t="shared" si="56"/>
        <v>179.922</v>
      </c>
      <c r="G554" s="55">
        <f t="shared" si="59"/>
        <v>145.81</v>
      </c>
      <c r="H554" s="49" t="s">
        <v>299</v>
      </c>
      <c r="I554" s="81" t="s">
        <v>390</v>
      </c>
      <c r="J554" s="108">
        <v>179.922</v>
      </c>
      <c r="K554" s="38"/>
      <c r="L554" s="371"/>
      <c r="M554" s="268"/>
      <c r="N554" s="269"/>
      <c r="O554" s="269"/>
      <c r="P554" s="38"/>
      <c r="Q554" s="269"/>
      <c r="R554" s="269"/>
      <c r="S554" s="38"/>
      <c r="T554" s="38"/>
      <c r="U554" s="38"/>
      <c r="V554" s="38"/>
      <c r="W554" s="38"/>
      <c r="X554" s="38"/>
      <c r="Y554" s="38"/>
      <c r="Z554" s="38"/>
      <c r="AA554" s="209"/>
    </row>
    <row r="555" spans="1:27" ht="14.25" customHeight="1" x14ac:dyDescent="0.25">
      <c r="A555" s="50">
        <f t="shared" si="57"/>
        <v>552</v>
      </c>
      <c r="B555" s="51"/>
      <c r="C555" s="52" t="str">
        <f t="shared" si="58"/>
        <v>4GENELCACF</v>
      </c>
      <c r="D555" s="52"/>
      <c r="E555" s="53">
        <f>+'CALCULO TARIFAS CC '!$S$45</f>
        <v>0.81043158584157549</v>
      </c>
      <c r="F555" s="110">
        <f t="shared" si="56"/>
        <v>29.946000000000002</v>
      </c>
      <c r="G555" s="55">
        <f t="shared" si="59"/>
        <v>24.27</v>
      </c>
      <c r="H555" s="49" t="s">
        <v>299</v>
      </c>
      <c r="I555" s="81" t="s">
        <v>118</v>
      </c>
      <c r="J555" s="108">
        <v>29.946000000000002</v>
      </c>
      <c r="K555" s="38"/>
      <c r="L555" s="371"/>
      <c r="M555" s="268"/>
      <c r="N555" s="269"/>
      <c r="O555" s="269"/>
      <c r="P555" s="38"/>
      <c r="Q555" s="269"/>
      <c r="R555" s="269"/>
      <c r="S555" s="38"/>
      <c r="T555" s="38"/>
      <c r="U555" s="38"/>
      <c r="V555" s="38"/>
      <c r="W555" s="38"/>
      <c r="X555" s="38"/>
      <c r="Y555" s="38"/>
      <c r="Z555" s="38"/>
      <c r="AA555" s="209"/>
    </row>
    <row r="556" spans="1:27" ht="14.25" customHeight="1" x14ac:dyDescent="0.25">
      <c r="A556" s="50">
        <f t="shared" si="57"/>
        <v>553</v>
      </c>
      <c r="B556" s="51"/>
      <c r="C556" s="52" t="str">
        <f t="shared" si="58"/>
        <v>4GENELLBMG</v>
      </c>
      <c r="D556" s="52"/>
      <c r="E556" s="53">
        <f>+'CALCULO TARIFAS CC '!$S$45</f>
        <v>0.81043158584157549</v>
      </c>
      <c r="F556" s="110">
        <f t="shared" si="56"/>
        <v>104.80500000000001</v>
      </c>
      <c r="G556" s="55">
        <f t="shared" si="59"/>
        <v>84.94</v>
      </c>
      <c r="H556" s="49" t="s">
        <v>299</v>
      </c>
      <c r="I556" s="81" t="s">
        <v>119</v>
      </c>
      <c r="J556" s="108">
        <v>104.80500000000001</v>
      </c>
      <c r="K556" s="38"/>
      <c r="L556" s="371"/>
      <c r="M556" s="268"/>
      <c r="N556" s="269"/>
      <c r="O556" s="269"/>
      <c r="P556" s="38"/>
      <c r="Q556" s="269"/>
      <c r="R556" s="269"/>
      <c r="S556" s="38"/>
      <c r="T556" s="38"/>
      <c r="U556" s="38"/>
      <c r="V556" s="38"/>
      <c r="W556" s="38"/>
      <c r="X556" s="38"/>
      <c r="Y556" s="38"/>
      <c r="Z556" s="38"/>
      <c r="AA556" s="209"/>
    </row>
    <row r="557" spans="1:27" ht="14.25" customHeight="1" x14ac:dyDescent="0.25">
      <c r="A557" s="50">
        <f t="shared" si="57"/>
        <v>554</v>
      </c>
      <c r="B557" s="51"/>
      <c r="C557" s="52" t="str">
        <f t="shared" si="58"/>
        <v>4GENELPHL</v>
      </c>
      <c r="D557" s="52"/>
      <c r="E557" s="53">
        <f>+'CALCULO TARIFAS CC '!$S$45</f>
        <v>0.81043158584157549</v>
      </c>
      <c r="F557" s="110">
        <f t="shared" si="56"/>
        <v>4.1219999999999999</v>
      </c>
      <c r="G557" s="55">
        <f t="shared" si="59"/>
        <v>3.34</v>
      </c>
      <c r="H557" s="49" t="s">
        <v>299</v>
      </c>
      <c r="I557" s="81" t="s">
        <v>120</v>
      </c>
      <c r="J557" s="108">
        <v>4.1219999999999999</v>
      </c>
      <c r="K557" s="38"/>
      <c r="L557" s="371"/>
      <c r="M557" s="268"/>
      <c r="N557" s="269"/>
      <c r="O557" s="269"/>
      <c r="P557" s="38"/>
      <c r="Q557" s="269"/>
      <c r="R557" s="269"/>
      <c r="S557" s="38"/>
      <c r="T557" s="38"/>
      <c r="U557" s="38"/>
      <c r="V557" s="38"/>
      <c r="W557" s="38"/>
      <c r="X557" s="38"/>
      <c r="Y557" s="38"/>
      <c r="Z557" s="38"/>
      <c r="AA557" s="209"/>
    </row>
    <row r="558" spans="1:27" ht="14.25" customHeight="1" x14ac:dyDescent="0.25">
      <c r="A558" s="50">
        <f t="shared" si="57"/>
        <v>555</v>
      </c>
      <c r="B558" s="51"/>
      <c r="C558" s="52" t="str">
        <f t="shared" si="58"/>
        <v>4GEOLO</v>
      </c>
      <c r="D558" s="52"/>
      <c r="E558" s="53">
        <f>+'CALCULO TARIFAS CC '!$S$45</f>
        <v>0.81043158584157549</v>
      </c>
      <c r="F558" s="110">
        <f t="shared" si="56"/>
        <v>7.3369999999999997</v>
      </c>
      <c r="G558" s="55">
        <f t="shared" si="59"/>
        <v>5.95</v>
      </c>
      <c r="H558" s="49" t="s">
        <v>299</v>
      </c>
      <c r="I558" s="81" t="s">
        <v>121</v>
      </c>
      <c r="J558" s="108">
        <v>7.3369999999999997</v>
      </c>
      <c r="K558" s="38"/>
      <c r="L558" s="371"/>
      <c r="M558" s="268"/>
      <c r="N558" s="269"/>
      <c r="O558" s="269"/>
      <c r="P558" s="38"/>
      <c r="Q558" s="269"/>
      <c r="R558" s="269"/>
      <c r="S558" s="38"/>
      <c r="T558" s="38"/>
      <c r="U558" s="38"/>
      <c r="V558" s="38"/>
      <c r="W558" s="38"/>
      <c r="X558" s="38"/>
      <c r="Y558" s="38"/>
      <c r="Z558" s="38"/>
      <c r="AA558" s="209"/>
    </row>
    <row r="559" spans="1:27" ht="14.25" customHeight="1" x14ac:dyDescent="0.25">
      <c r="A559" s="50">
        <f t="shared" si="57"/>
        <v>556</v>
      </c>
      <c r="B559" s="51"/>
      <c r="C559" s="52" t="str">
        <f t="shared" si="58"/>
        <v>4GGEOSA</v>
      </c>
      <c r="D559" s="52"/>
      <c r="E559" s="53">
        <f>+'CALCULO TARIFAS CC '!$S$45</f>
        <v>0.81043158584157549</v>
      </c>
      <c r="F559" s="110">
        <f t="shared" si="56"/>
        <v>189.48599999999999</v>
      </c>
      <c r="G559" s="55">
        <f t="shared" si="59"/>
        <v>153.57</v>
      </c>
      <c r="H559" s="49" t="s">
        <v>299</v>
      </c>
      <c r="I559" s="81" t="s">
        <v>122</v>
      </c>
      <c r="J559" s="108">
        <v>189.48599999999999</v>
      </c>
      <c r="K559" s="38"/>
      <c r="L559" s="371"/>
      <c r="M559" s="268"/>
      <c r="N559" s="269"/>
      <c r="O559" s="269"/>
      <c r="P559" s="38"/>
      <c r="Q559" s="269"/>
      <c r="R559" s="269"/>
      <c r="S559" s="38"/>
      <c r="T559" s="38"/>
      <c r="U559" s="38"/>
      <c r="V559" s="38"/>
      <c r="W559" s="38"/>
      <c r="X559" s="38"/>
      <c r="Y559" s="38"/>
      <c r="Z559" s="38"/>
      <c r="AA559" s="209"/>
    </row>
    <row r="560" spans="1:27" ht="14.25" customHeight="1" x14ac:dyDescent="0.25">
      <c r="A560" s="50">
        <f t="shared" si="57"/>
        <v>557</v>
      </c>
      <c r="B560" s="51"/>
      <c r="C560" s="52" t="str">
        <f t="shared" si="58"/>
        <v>4GGESARSA</v>
      </c>
      <c r="D560" s="52"/>
      <c r="E560" s="53">
        <f>+'CALCULO TARIFAS CC '!$S$45</f>
        <v>0.81043158584157549</v>
      </c>
      <c r="F560" s="110">
        <f t="shared" si="56"/>
        <v>2.7330000000000001</v>
      </c>
      <c r="G560" s="55">
        <f t="shared" si="59"/>
        <v>2.21</v>
      </c>
      <c r="H560" s="49" t="s">
        <v>299</v>
      </c>
      <c r="I560" s="81" t="s">
        <v>123</v>
      </c>
      <c r="J560" s="108">
        <v>2.7330000000000001</v>
      </c>
      <c r="K560" s="38"/>
      <c r="L560" s="371"/>
      <c r="M560" s="268"/>
      <c r="N560" s="269"/>
      <c r="O560" s="269"/>
      <c r="P560" s="38"/>
      <c r="Q560" s="269"/>
      <c r="R560" s="269"/>
      <c r="S560" s="38"/>
      <c r="T560" s="38"/>
      <c r="U560" s="38"/>
      <c r="V560" s="38"/>
      <c r="W560" s="38"/>
      <c r="X560" s="38"/>
      <c r="Y560" s="38"/>
      <c r="Z560" s="38"/>
      <c r="AA560" s="209"/>
    </row>
    <row r="561" spans="1:27" ht="14.25" customHeight="1" x14ac:dyDescent="0.25">
      <c r="A561" s="50">
        <f t="shared" si="57"/>
        <v>558</v>
      </c>
      <c r="B561" s="51"/>
      <c r="C561" s="52" t="str">
        <f t="shared" si="58"/>
        <v>4GHEMCO</v>
      </c>
      <c r="D561" s="52"/>
      <c r="E561" s="53">
        <f>+'CALCULO TARIFAS CC '!$S$45</f>
        <v>0.81043158584157549</v>
      </c>
      <c r="F561" s="110">
        <f t="shared" si="56"/>
        <v>753.32399999999996</v>
      </c>
      <c r="G561" s="55">
        <f t="shared" si="59"/>
        <v>610.52</v>
      </c>
      <c r="H561" s="49" t="s">
        <v>299</v>
      </c>
      <c r="I561" s="81" t="s">
        <v>124</v>
      </c>
      <c r="J561" s="108">
        <v>753.32399999999996</v>
      </c>
      <c r="K561" s="38"/>
      <c r="L561" s="267"/>
      <c r="M561" s="268"/>
      <c r="N561" s="269"/>
      <c r="O561" s="269"/>
      <c r="P561" s="38"/>
      <c r="Q561" s="269"/>
      <c r="R561" s="269"/>
      <c r="S561" s="38"/>
      <c r="T561" s="38"/>
      <c r="U561" s="38"/>
      <c r="V561" s="38"/>
      <c r="W561" s="38"/>
      <c r="X561" s="38"/>
      <c r="Y561" s="38"/>
      <c r="Z561" s="38"/>
      <c r="AA561" s="209"/>
    </row>
    <row r="562" spans="1:27" ht="14.25" customHeight="1" x14ac:dyDescent="0.25">
      <c r="A562" s="50">
        <f t="shared" si="57"/>
        <v>559</v>
      </c>
      <c r="B562" s="51"/>
      <c r="C562" s="52" t="str">
        <f t="shared" si="58"/>
        <v>4GHPA</v>
      </c>
      <c r="D562" s="52"/>
      <c r="E562" s="53">
        <f>+'CALCULO TARIFAS CC '!$S$45</f>
        <v>0.81043158584157549</v>
      </c>
      <c r="F562" s="110">
        <f t="shared" si="56"/>
        <v>12.680999999999999</v>
      </c>
      <c r="G562" s="55">
        <f t="shared" si="59"/>
        <v>10.28</v>
      </c>
      <c r="H562" s="49" t="s">
        <v>299</v>
      </c>
      <c r="I562" s="81" t="s">
        <v>125</v>
      </c>
      <c r="J562" s="108">
        <v>12.680999999999999</v>
      </c>
      <c r="K562" s="38"/>
      <c r="L562" s="267"/>
      <c r="M562" s="268"/>
      <c r="N562" s="269"/>
      <c r="O562" s="269"/>
      <c r="P562" s="38"/>
      <c r="Q562" s="269"/>
      <c r="R562" s="269"/>
      <c r="S562" s="38"/>
      <c r="T562" s="38"/>
      <c r="U562" s="38"/>
      <c r="V562" s="38"/>
      <c r="W562" s="38"/>
      <c r="X562" s="38"/>
      <c r="Y562" s="38"/>
      <c r="Z562" s="38"/>
      <c r="AA562" s="209"/>
    </row>
    <row r="563" spans="1:27" ht="14.25" customHeight="1" x14ac:dyDescent="0.25">
      <c r="A563" s="50">
        <f t="shared" si="57"/>
        <v>560</v>
      </c>
      <c r="B563" s="51"/>
      <c r="C563" s="52" t="str">
        <f t="shared" si="58"/>
        <v>4GIHSA</v>
      </c>
      <c r="D563" s="52"/>
      <c r="E563" s="53">
        <f>+'CALCULO TARIFAS CC '!$S$45</f>
        <v>0.81043158584157549</v>
      </c>
      <c r="F563" s="110">
        <f t="shared" si="56"/>
        <v>0.747</v>
      </c>
      <c r="G563" s="55">
        <f t="shared" si="59"/>
        <v>0.61</v>
      </c>
      <c r="H563" s="49" t="s">
        <v>299</v>
      </c>
      <c r="I563" s="81" t="s">
        <v>126</v>
      </c>
      <c r="J563" s="108">
        <v>0.747</v>
      </c>
      <c r="K563" s="38"/>
      <c r="L563" s="267"/>
      <c r="M563" s="268"/>
      <c r="N563" s="269"/>
      <c r="O563" s="269"/>
      <c r="P563" s="38"/>
      <c r="Q563" s="269"/>
      <c r="R563" s="269"/>
      <c r="S563" s="38"/>
      <c r="T563" s="38"/>
      <c r="U563" s="38"/>
      <c r="V563" s="38"/>
      <c r="W563" s="38"/>
      <c r="X563" s="38"/>
      <c r="Y563" s="38"/>
      <c r="Z563" s="38"/>
      <c r="AA563" s="209"/>
    </row>
    <row r="564" spans="1:27" ht="14.25" customHeight="1" x14ac:dyDescent="0.25">
      <c r="A564" s="50">
        <f t="shared" si="57"/>
        <v>561</v>
      </c>
      <c r="B564" s="51"/>
      <c r="C564" s="52" t="str">
        <f t="shared" si="58"/>
        <v>4GMONTEROS</v>
      </c>
      <c r="D564" s="52"/>
      <c r="E564" s="53">
        <f>+'CALCULO TARIFAS CC '!$S$45</f>
        <v>0.81043158584157549</v>
      </c>
      <c r="F564" s="110">
        <f t="shared" si="56"/>
        <v>15.712999999999999</v>
      </c>
      <c r="G564" s="55">
        <f t="shared" si="59"/>
        <v>12.73</v>
      </c>
      <c r="H564" s="49" t="s">
        <v>299</v>
      </c>
      <c r="I564" s="81" t="s">
        <v>127</v>
      </c>
      <c r="J564" s="108">
        <v>15.712999999999999</v>
      </c>
      <c r="K564" s="38"/>
      <c r="L564" s="267"/>
      <c r="M564" s="268"/>
      <c r="N564" s="269"/>
      <c r="O564" s="269"/>
      <c r="P564" s="38"/>
      <c r="Q564" s="269"/>
      <c r="R564" s="269"/>
      <c r="S564" s="38"/>
      <c r="T564" s="38"/>
      <c r="U564" s="38"/>
      <c r="V564" s="38"/>
      <c r="W564" s="38"/>
      <c r="X564" s="38"/>
      <c r="Y564" s="38"/>
      <c r="Z564" s="38"/>
      <c r="AA564" s="209"/>
    </row>
    <row r="565" spans="1:27" ht="14.25" customHeight="1" x14ac:dyDescent="0.25">
      <c r="A565" s="50">
        <f t="shared" si="57"/>
        <v>562</v>
      </c>
      <c r="B565" s="51"/>
      <c r="C565" s="52" t="str">
        <f t="shared" si="58"/>
        <v>4GMTL</v>
      </c>
      <c r="D565" s="52"/>
      <c r="E565" s="53">
        <f>+'CALCULO TARIFAS CC '!$S$45</f>
        <v>0.81043158584157549</v>
      </c>
      <c r="F565" s="110">
        <f t="shared" si="56"/>
        <v>282.64800000000002</v>
      </c>
      <c r="G565" s="55">
        <f t="shared" si="59"/>
        <v>229.07</v>
      </c>
      <c r="H565" s="49" t="s">
        <v>299</v>
      </c>
      <c r="I565" s="81" t="s">
        <v>128</v>
      </c>
      <c r="J565" s="108">
        <v>282.64800000000002</v>
      </c>
      <c r="K565" s="38"/>
      <c r="L565" s="267"/>
      <c r="M565" s="268"/>
      <c r="N565" s="269"/>
      <c r="O565" s="269"/>
      <c r="P565" s="38"/>
      <c r="Q565" s="269"/>
      <c r="R565" s="269"/>
      <c r="S565" s="38"/>
      <c r="T565" s="38"/>
      <c r="U565" s="38"/>
      <c r="V565" s="38"/>
      <c r="W565" s="38"/>
      <c r="X565" s="38"/>
      <c r="Y565" s="38"/>
      <c r="Z565" s="38"/>
      <c r="AA565" s="209"/>
    </row>
    <row r="566" spans="1:27" ht="14.25" customHeight="1" x14ac:dyDescent="0.25">
      <c r="A566" s="50">
        <f t="shared" si="57"/>
        <v>563</v>
      </c>
      <c r="B566" s="51"/>
      <c r="C566" s="52" t="str">
        <f t="shared" si="58"/>
        <v>4GPENSA</v>
      </c>
      <c r="D566" s="52"/>
      <c r="E566" s="53">
        <f>+'CALCULO TARIFAS CC '!$S$45</f>
        <v>0.81043158584157549</v>
      </c>
      <c r="F566" s="110">
        <f t="shared" si="56"/>
        <v>7.1909999999999998</v>
      </c>
      <c r="G566" s="55">
        <f t="shared" si="59"/>
        <v>5.83</v>
      </c>
      <c r="H566" s="49" t="s">
        <v>299</v>
      </c>
      <c r="I566" s="81" t="s">
        <v>129</v>
      </c>
      <c r="J566" s="108">
        <v>7.1909999999999998</v>
      </c>
      <c r="K566" s="38"/>
      <c r="L566" s="267"/>
      <c r="M566" s="268"/>
      <c r="N566" s="269"/>
      <c r="O566" s="269"/>
      <c r="P566" s="38"/>
      <c r="Q566" s="269"/>
      <c r="R566" s="269"/>
      <c r="S566" s="38"/>
      <c r="T566" s="38"/>
      <c r="U566" s="38"/>
      <c r="V566" s="38"/>
      <c r="W566" s="38"/>
      <c r="X566" s="38"/>
      <c r="Y566" s="38"/>
      <c r="Z566" s="38"/>
      <c r="AA566" s="209"/>
    </row>
    <row r="567" spans="1:27" ht="14.25" customHeight="1" x14ac:dyDescent="0.25">
      <c r="A567" s="50">
        <f t="shared" si="57"/>
        <v>564</v>
      </c>
      <c r="B567" s="51"/>
      <c r="C567" s="52" t="str">
        <f t="shared" si="58"/>
        <v>4GSOLARIS</v>
      </c>
      <c r="D567" s="52"/>
      <c r="E567" s="53">
        <f>+'CALCULO TARIFAS CC '!$S$45</f>
        <v>0.81043158584157549</v>
      </c>
      <c r="F567" s="110">
        <f t="shared" si="56"/>
        <v>7.8659999999999997</v>
      </c>
      <c r="G567" s="55">
        <f t="shared" si="59"/>
        <v>6.37</v>
      </c>
      <c r="H567" s="49" t="s">
        <v>299</v>
      </c>
      <c r="I567" s="81" t="s">
        <v>130</v>
      </c>
      <c r="J567" s="108">
        <v>7.8659999999999997</v>
      </c>
      <c r="K567" s="38"/>
      <c r="L567" s="267"/>
      <c r="M567" s="268"/>
      <c r="N567" s="269"/>
      <c r="O567" s="269"/>
      <c r="P567" s="38"/>
      <c r="Q567" s="269"/>
      <c r="R567" s="269"/>
      <c r="S567" s="38"/>
      <c r="T567" s="38"/>
      <c r="U567" s="38"/>
      <c r="V567" s="38"/>
      <c r="W567" s="38"/>
      <c r="X567" s="38"/>
      <c r="Y567" s="38"/>
      <c r="Z567" s="38"/>
      <c r="AA567" s="209"/>
    </row>
    <row r="568" spans="1:27" ht="14.25" customHeight="1" x14ac:dyDescent="0.25">
      <c r="A568" s="50">
        <f t="shared" si="57"/>
        <v>565</v>
      </c>
      <c r="B568" s="51"/>
      <c r="C568" s="52" t="str">
        <f t="shared" si="58"/>
        <v>4TENATREL</v>
      </c>
      <c r="D568" s="52"/>
      <c r="E568" s="53">
        <f>+'CALCULO TARIFAS CC '!$S$45</f>
        <v>0.81043158584157549</v>
      </c>
      <c r="F568" s="110">
        <f t="shared" si="56"/>
        <v>0</v>
      </c>
      <c r="G568" s="55">
        <f t="shared" si="59"/>
        <v>0</v>
      </c>
      <c r="H568" s="49" t="s">
        <v>299</v>
      </c>
      <c r="I568" s="81" t="s">
        <v>131</v>
      </c>
      <c r="J568" s="108">
        <v>0</v>
      </c>
      <c r="K568" s="38"/>
      <c r="L568" s="267"/>
      <c r="M568" s="268"/>
      <c r="N568" s="269"/>
      <c r="O568" s="269"/>
      <c r="P568" s="38"/>
      <c r="Q568" s="269"/>
      <c r="R568" s="269"/>
      <c r="S568" s="38"/>
      <c r="T568" s="38"/>
      <c r="U568" s="38"/>
      <c r="V568" s="38"/>
      <c r="W568" s="38"/>
      <c r="X568" s="38"/>
      <c r="Y568" s="38"/>
      <c r="Z568" s="38"/>
      <c r="AA568" s="209"/>
    </row>
    <row r="569" spans="1:27" ht="14.25" customHeight="1" x14ac:dyDescent="0.25">
      <c r="A569" s="50">
        <f t="shared" si="57"/>
        <v>566</v>
      </c>
      <c r="B569" s="51"/>
      <c r="C569" s="52" t="str">
        <f t="shared" si="58"/>
        <v>4TEPRNIC</v>
      </c>
      <c r="D569" s="52"/>
      <c r="E569" s="53">
        <f>+'CALCULO TARIFAS CC '!$S$45</f>
        <v>0.81043158584157549</v>
      </c>
      <c r="F569" s="110">
        <f t="shared" si="56"/>
        <v>0</v>
      </c>
      <c r="G569" s="55">
        <f t="shared" si="59"/>
        <v>0</v>
      </c>
      <c r="H569" s="49" t="s">
        <v>299</v>
      </c>
      <c r="I569" s="81" t="s">
        <v>132</v>
      </c>
      <c r="J569" s="108">
        <v>0</v>
      </c>
      <c r="K569" s="38"/>
      <c r="L569" s="267"/>
      <c r="M569" s="268"/>
      <c r="N569" s="269"/>
      <c r="O569" s="269"/>
      <c r="P569" s="38"/>
      <c r="Q569" s="269"/>
      <c r="R569" s="269"/>
      <c r="S569" s="38"/>
      <c r="T569" s="38"/>
      <c r="U569" s="38"/>
      <c r="V569" s="38"/>
      <c r="W569" s="38"/>
      <c r="X569" s="38"/>
      <c r="Y569" s="38"/>
      <c r="Z569" s="38"/>
      <c r="AA569" s="209"/>
    </row>
    <row r="570" spans="1:27" ht="14.25" customHeight="1" x14ac:dyDescent="0.25">
      <c r="A570" s="50">
        <f t="shared" si="57"/>
        <v>567</v>
      </c>
      <c r="B570" s="51"/>
      <c r="C570" s="52" t="str">
        <f t="shared" si="58"/>
        <v>4UCCN</v>
      </c>
      <c r="D570" s="52"/>
      <c r="E570" s="53">
        <f>+'CALCULO TARIFAS CC '!$S$45</f>
        <v>0.81043158584157549</v>
      </c>
      <c r="F570" s="110">
        <f t="shared" si="56"/>
        <v>979.99599999999998</v>
      </c>
      <c r="G570" s="55">
        <f>+ROUND(F570*E570,2)</f>
        <v>794.22</v>
      </c>
      <c r="H570" s="49" t="s">
        <v>299</v>
      </c>
      <c r="I570" s="81" t="s">
        <v>133</v>
      </c>
      <c r="J570" s="108">
        <v>979.99599999999998</v>
      </c>
      <c r="K570" s="38"/>
      <c r="L570" s="267"/>
      <c r="M570" s="268"/>
      <c r="N570" s="269"/>
      <c r="O570" s="269"/>
      <c r="P570" s="38"/>
      <c r="Q570" s="269"/>
      <c r="R570" s="269"/>
      <c r="S570" s="38"/>
      <c r="T570" s="38"/>
      <c r="U570" s="38"/>
      <c r="V570" s="38"/>
      <c r="W570" s="38"/>
      <c r="X570" s="38"/>
      <c r="Y570" s="38"/>
      <c r="Z570" s="38"/>
      <c r="AA570" s="209"/>
    </row>
    <row r="571" spans="1:27" ht="14.25" customHeight="1" x14ac:dyDescent="0.25">
      <c r="A571" s="50">
        <f t="shared" si="57"/>
        <v>568</v>
      </c>
      <c r="B571" s="51"/>
      <c r="C571" s="52" t="str">
        <f t="shared" si="58"/>
        <v>4UCEMEXN</v>
      </c>
      <c r="D571" s="52"/>
      <c r="E571" s="53">
        <f>+'CALCULO TARIFAS CC '!$S$45</f>
        <v>0.81043158584157549</v>
      </c>
      <c r="F571" s="110">
        <f t="shared" si="56"/>
        <v>2567.665</v>
      </c>
      <c r="G571" s="55">
        <f>+ROUND(F571*E571,2)</f>
        <v>2080.92</v>
      </c>
      <c r="H571" s="49" t="s">
        <v>299</v>
      </c>
      <c r="I571" s="81" t="s">
        <v>134</v>
      </c>
      <c r="J571" s="108">
        <v>2567.665</v>
      </c>
      <c r="K571" s="38"/>
      <c r="L571" s="267"/>
      <c r="M571" s="268"/>
      <c r="N571" s="269"/>
      <c r="O571" s="269"/>
      <c r="P571" s="38"/>
      <c r="Q571" s="269"/>
      <c r="R571" s="269"/>
      <c r="S571" s="38"/>
      <c r="T571" s="38"/>
      <c r="U571" s="38"/>
      <c r="V571" s="38"/>
      <c r="W571" s="38"/>
      <c r="X571" s="38"/>
      <c r="Y571" s="38"/>
      <c r="Z571" s="38"/>
      <c r="AA571" s="209"/>
    </row>
    <row r="572" spans="1:27" ht="14.25" customHeight="1" x14ac:dyDescent="0.25">
      <c r="A572" s="50">
        <f t="shared" si="57"/>
        <v>569</v>
      </c>
      <c r="B572" s="51"/>
      <c r="C572" s="52" t="str">
        <f t="shared" si="58"/>
        <v>4UCHDN</v>
      </c>
      <c r="D572" s="52"/>
      <c r="E572" s="53">
        <f>+'CALCULO TARIFAS CC '!$S$45</f>
        <v>0.81043158584157549</v>
      </c>
      <c r="F572" s="110">
        <f t="shared" si="56"/>
        <v>197.09800000000001</v>
      </c>
      <c r="G572" s="55">
        <f t="shared" si="59"/>
        <v>159.72999999999999</v>
      </c>
      <c r="H572" s="49" t="s">
        <v>299</v>
      </c>
      <c r="I572" s="81" t="s">
        <v>135</v>
      </c>
      <c r="J572" s="108">
        <v>197.09800000000001</v>
      </c>
      <c r="K572" s="38"/>
      <c r="L572" s="267"/>
      <c r="M572" s="268"/>
      <c r="N572" s="269"/>
      <c r="O572" s="269"/>
      <c r="P572" s="38"/>
      <c r="Q572" s="269"/>
      <c r="R572" s="269"/>
      <c r="S572" s="38"/>
      <c r="T572" s="38"/>
      <c r="U572" s="38"/>
      <c r="V572" s="38"/>
      <c r="W572" s="38"/>
      <c r="X572" s="38"/>
      <c r="Y572" s="38"/>
      <c r="Z572" s="38"/>
      <c r="AA572" s="209"/>
    </row>
    <row r="573" spans="1:27" ht="14.25" customHeight="1" x14ac:dyDescent="0.25">
      <c r="A573" s="50">
        <f t="shared" si="57"/>
        <v>570</v>
      </c>
      <c r="B573" s="51"/>
      <c r="C573" s="52" t="str">
        <f t="shared" si="58"/>
        <v>4UDMN</v>
      </c>
      <c r="D573" s="52"/>
      <c r="E573" s="53">
        <f>+'CALCULO TARIFAS CC '!$S$45</f>
        <v>0.81043158584157549</v>
      </c>
      <c r="F573" s="110">
        <f t="shared" si="56"/>
        <v>262.12200000000001</v>
      </c>
      <c r="G573" s="55">
        <f>+ROUND(F573*E573,2)</f>
        <v>212.43</v>
      </c>
      <c r="H573" s="49" t="s">
        <v>299</v>
      </c>
      <c r="I573" s="81" t="s">
        <v>136</v>
      </c>
      <c r="J573" s="108">
        <v>262.12200000000001</v>
      </c>
      <c r="K573" s="38"/>
      <c r="L573" s="267"/>
      <c r="M573" s="268"/>
      <c r="N573" s="269"/>
      <c r="O573" s="269"/>
      <c r="P573" s="38"/>
      <c r="Q573" s="269"/>
      <c r="R573" s="269"/>
      <c r="S573" s="38"/>
      <c r="T573" s="38"/>
      <c r="U573" s="38"/>
      <c r="V573" s="38"/>
      <c r="W573" s="38"/>
      <c r="X573" s="38"/>
      <c r="Y573" s="38"/>
      <c r="Z573" s="38"/>
      <c r="AA573" s="209"/>
    </row>
    <row r="574" spans="1:27" ht="14.25" customHeight="1" x14ac:dyDescent="0.25">
      <c r="A574" s="50">
        <f t="shared" si="57"/>
        <v>571</v>
      </c>
      <c r="B574" s="51"/>
      <c r="C574" s="52" t="str">
        <f t="shared" si="58"/>
        <v>4UENACAL</v>
      </c>
      <c r="D574" s="52"/>
      <c r="E574" s="53">
        <f>+'CALCULO TARIFAS CC '!$S$45</f>
        <v>0.81043158584157549</v>
      </c>
      <c r="F574" s="110">
        <f t="shared" si="56"/>
        <v>3083.9520000000002</v>
      </c>
      <c r="G574" s="55">
        <f>+ROUND(F574*E574,2)</f>
        <v>2499.33</v>
      </c>
      <c r="H574" s="49" t="s">
        <v>299</v>
      </c>
      <c r="I574" s="81" t="s">
        <v>137</v>
      </c>
      <c r="J574" s="108">
        <v>3083.9520000000002</v>
      </c>
      <c r="K574" s="38"/>
      <c r="L574" s="267"/>
      <c r="M574" s="268"/>
      <c r="N574" s="269"/>
      <c r="O574" s="269"/>
      <c r="P574" s="38"/>
      <c r="Q574" s="269"/>
      <c r="R574" s="269"/>
      <c r="S574" s="38"/>
      <c r="T574" s="38"/>
      <c r="U574" s="38"/>
      <c r="V574" s="38"/>
      <c r="W574" s="38"/>
      <c r="X574" s="38"/>
      <c r="Y574" s="38"/>
      <c r="Z574" s="38"/>
      <c r="AA574" s="209"/>
    </row>
    <row r="575" spans="1:27" ht="14.25" customHeight="1" x14ac:dyDescent="0.25">
      <c r="A575" s="50">
        <f t="shared" si="57"/>
        <v>572</v>
      </c>
      <c r="B575" s="51"/>
      <c r="C575" s="52" t="str">
        <f t="shared" si="58"/>
        <v>4UENSA</v>
      </c>
      <c r="D575" s="52"/>
      <c r="E575" s="53">
        <f>+'CALCULO TARIFAS CC '!$S$45</f>
        <v>0.81043158584157549</v>
      </c>
      <c r="F575" s="110">
        <f t="shared" si="56"/>
        <v>646.65</v>
      </c>
      <c r="G575" s="55">
        <f t="shared" si="59"/>
        <v>524.07000000000005</v>
      </c>
      <c r="H575" s="49" t="s">
        <v>299</v>
      </c>
      <c r="I575" s="81" t="s">
        <v>138</v>
      </c>
      <c r="J575" s="108">
        <v>646.65</v>
      </c>
      <c r="K575" s="38"/>
      <c r="L575" s="267"/>
      <c r="M575" s="268"/>
      <c r="N575" s="269"/>
      <c r="O575" s="269"/>
      <c r="P575" s="38"/>
      <c r="Q575" s="269"/>
      <c r="R575" s="269"/>
      <c r="S575" s="38"/>
      <c r="T575" s="38"/>
      <c r="U575" s="38"/>
      <c r="V575" s="38"/>
      <c r="W575" s="38"/>
      <c r="X575" s="38"/>
      <c r="Y575" s="38"/>
      <c r="Z575" s="38"/>
      <c r="AA575" s="209"/>
    </row>
    <row r="576" spans="1:27" s="300" customFormat="1" ht="14.25" customHeight="1" x14ac:dyDescent="0.25">
      <c r="A576" s="50">
        <f t="shared" si="57"/>
        <v>573</v>
      </c>
      <c r="B576" s="51"/>
      <c r="C576" s="52" t="str">
        <f t="shared" si="58"/>
        <v>4UHME</v>
      </c>
      <c r="D576" s="52"/>
      <c r="E576" s="53">
        <f>+'CALCULO TARIFAS CC '!$S$45</f>
        <v>0.81043158584157549</v>
      </c>
      <c r="F576" s="110">
        <f t="shared" si="56"/>
        <v>984.66300000000001</v>
      </c>
      <c r="G576" s="55">
        <f t="shared" si="59"/>
        <v>798</v>
      </c>
      <c r="H576" s="49" t="s">
        <v>299</v>
      </c>
      <c r="I576" s="81" t="s">
        <v>596</v>
      </c>
      <c r="J576" s="108">
        <v>984.66300000000001</v>
      </c>
      <c r="K576" s="38"/>
      <c r="L576" s="267"/>
      <c r="M576" s="268"/>
      <c r="N576" s="269"/>
      <c r="O576" s="269"/>
      <c r="P576" s="38"/>
      <c r="Q576" s="269"/>
      <c r="R576" s="269"/>
      <c r="S576" s="38"/>
      <c r="T576" s="38"/>
      <c r="U576" s="38"/>
      <c r="V576" s="38"/>
      <c r="W576" s="38"/>
      <c r="X576" s="38"/>
      <c r="Y576" s="38"/>
      <c r="Z576" s="38"/>
      <c r="AA576" s="209"/>
    </row>
    <row r="577" spans="1:27" ht="14.25" customHeight="1" x14ac:dyDescent="0.25">
      <c r="A577" s="50">
        <f t="shared" si="57"/>
        <v>574</v>
      </c>
      <c r="B577" s="51"/>
      <c r="C577" s="52" t="str">
        <f t="shared" si="58"/>
        <v>4UHOLCIM</v>
      </c>
      <c r="D577" s="52"/>
      <c r="E577" s="53">
        <f>+'CALCULO TARIFAS CC '!$S$45</f>
        <v>0.81043158584157549</v>
      </c>
      <c r="F577" s="110">
        <f t="shared" si="56"/>
        <v>956.59500000000003</v>
      </c>
      <c r="G577" s="55">
        <f t="shared" si="59"/>
        <v>775.25</v>
      </c>
      <c r="H577" s="49" t="s">
        <v>299</v>
      </c>
      <c r="I577" s="81" t="s">
        <v>139</v>
      </c>
      <c r="J577" s="108">
        <v>956.59500000000003</v>
      </c>
      <c r="K577" s="38"/>
      <c r="L577" s="267"/>
      <c r="M577" s="268"/>
      <c r="N577" s="269"/>
      <c r="O577" s="269"/>
      <c r="P577" s="38"/>
      <c r="Q577" s="269"/>
      <c r="R577" s="269"/>
      <c r="S577" s="38"/>
      <c r="T577" s="38"/>
      <c r="U577" s="38"/>
      <c r="V577" s="38"/>
      <c r="W577" s="38"/>
      <c r="X577" s="38"/>
      <c r="Y577" s="38"/>
      <c r="Z577" s="38"/>
      <c r="AA577" s="209"/>
    </row>
    <row r="578" spans="1:27" s="206" customFormat="1" ht="14.25" customHeight="1" x14ac:dyDescent="0.25">
      <c r="A578" s="50">
        <f t="shared" si="57"/>
        <v>575</v>
      </c>
      <c r="B578" s="51"/>
      <c r="C578" s="52" t="str">
        <f t="shared" si="58"/>
        <v>4UINDEXN</v>
      </c>
      <c r="D578" s="52"/>
      <c r="E578" s="53">
        <f>+'CALCULO TARIFAS CC '!$S$45</f>
        <v>0.81043158584157549</v>
      </c>
      <c r="F578" s="110">
        <f t="shared" si="56"/>
        <v>216.91900000000001</v>
      </c>
      <c r="G578" s="55">
        <f t="shared" si="59"/>
        <v>175.8</v>
      </c>
      <c r="H578" s="49" t="s">
        <v>299</v>
      </c>
      <c r="I578" s="81" t="s">
        <v>140</v>
      </c>
      <c r="J578" s="108">
        <v>216.91900000000001</v>
      </c>
      <c r="K578" s="38"/>
      <c r="L578" s="267"/>
      <c r="M578" s="268"/>
      <c r="N578" s="269"/>
      <c r="O578" s="269"/>
      <c r="P578" s="38"/>
      <c r="Q578" s="269"/>
      <c r="R578" s="269"/>
      <c r="S578" s="38"/>
      <c r="T578" s="38"/>
      <c r="U578" s="38"/>
      <c r="V578" s="38"/>
      <c r="W578" s="38"/>
      <c r="X578" s="38"/>
      <c r="Y578" s="38"/>
      <c r="Z578" s="38"/>
      <c r="AA578" s="209"/>
    </row>
    <row r="579" spans="1:27" ht="14.25" customHeight="1" x14ac:dyDescent="0.25">
      <c r="A579" s="50">
        <f t="shared" si="57"/>
        <v>576</v>
      </c>
      <c r="B579" s="51"/>
      <c r="C579" s="52" t="str">
        <f t="shared" si="58"/>
        <v>4UTRITONMI</v>
      </c>
      <c r="D579" s="52"/>
      <c r="E579" s="53">
        <f>+'CALCULO TARIFAS CC '!$S$45</f>
        <v>0.81043158584157549</v>
      </c>
      <c r="F579" s="110">
        <f t="shared" si="56"/>
        <v>1916.0930000000001</v>
      </c>
      <c r="G579" s="55">
        <f>+ROUND(F579*E579,2)</f>
        <v>1552.86</v>
      </c>
      <c r="H579" s="49" t="s">
        <v>299</v>
      </c>
      <c r="I579" s="37" t="s">
        <v>141</v>
      </c>
      <c r="J579" s="142">
        <v>1916.0930000000001</v>
      </c>
      <c r="K579" s="38"/>
      <c r="L579" s="267"/>
      <c r="M579" s="268"/>
      <c r="N579" s="269"/>
      <c r="O579" s="269"/>
      <c r="P579" s="38"/>
      <c r="Q579" s="269"/>
      <c r="R579" s="269"/>
      <c r="S579" s="38"/>
      <c r="T579" s="38"/>
      <c r="U579" s="38"/>
      <c r="V579" s="38"/>
      <c r="W579" s="38"/>
      <c r="X579" s="38"/>
      <c r="Y579" s="38"/>
      <c r="Z579" s="38"/>
      <c r="AA579" s="209"/>
    </row>
    <row r="580" spans="1:27" ht="15.75" thickBot="1" x14ac:dyDescent="0.3">
      <c r="A580" s="50">
        <f t="shared" si="57"/>
        <v>577</v>
      </c>
      <c r="B580" s="134"/>
      <c r="C580" s="52" t="str">
        <f t="shared" si="58"/>
        <v>4UZFLP</v>
      </c>
      <c r="D580" s="135"/>
      <c r="E580" s="139">
        <f>+'CALCULO TARIFAS CC '!$S$45</f>
        <v>0.81043158584157549</v>
      </c>
      <c r="F580" s="110">
        <f t="shared" si="56"/>
        <v>260.75799999999998</v>
      </c>
      <c r="G580" s="55">
        <f t="shared" si="59"/>
        <v>211.33</v>
      </c>
      <c r="H580" s="49" t="s">
        <v>299</v>
      </c>
      <c r="I580" s="37" t="s">
        <v>142</v>
      </c>
      <c r="J580" s="142">
        <v>260.75799999999998</v>
      </c>
      <c r="K580" s="38"/>
      <c r="L580" s="267"/>
      <c r="M580" s="268"/>
      <c r="N580" s="269"/>
      <c r="O580" s="269"/>
      <c r="P580" s="38"/>
      <c r="Q580" s="269"/>
      <c r="R580" s="269"/>
      <c r="S580" s="38"/>
      <c r="T580" s="38"/>
      <c r="U580" s="38"/>
      <c r="V580" s="38"/>
      <c r="W580" s="38"/>
      <c r="X580" s="38"/>
      <c r="Y580" s="38"/>
      <c r="Z580" s="38"/>
      <c r="AA580" s="209"/>
    </row>
    <row r="581" spans="1:27" ht="12.75" customHeight="1" thickBot="1" x14ac:dyDescent="0.3">
      <c r="A581" s="95"/>
      <c r="B581" s="96"/>
      <c r="C581" s="97" t="s">
        <v>305</v>
      </c>
      <c r="D581" s="97"/>
      <c r="E581" s="97"/>
      <c r="F581" s="143">
        <f>ROUND(SUM(F543:F580),4)</f>
        <v>358588.84700000001</v>
      </c>
      <c r="G581" s="101">
        <f>SUM(G543:G580)</f>
        <v>290611.73000000004</v>
      </c>
      <c r="H581" s="37"/>
      <c r="K581" s="38"/>
      <c r="L581" s="267"/>
      <c r="M581" s="268"/>
      <c r="N581" s="269"/>
      <c r="O581" s="269"/>
      <c r="P581" s="38"/>
      <c r="Q581" s="269"/>
      <c r="R581" s="269"/>
      <c r="U581" s="38"/>
      <c r="V581" s="38"/>
      <c r="W581" s="38"/>
      <c r="X581" s="38"/>
      <c r="Y581" s="38"/>
      <c r="Z581" s="38"/>
    </row>
    <row r="582" spans="1:27" ht="12.75" customHeight="1" thickBot="1" x14ac:dyDescent="0.3">
      <c r="A582" s="102">
        <f>A580+1</f>
        <v>578</v>
      </c>
      <c r="B582" s="103" t="s">
        <v>12</v>
      </c>
      <c r="C582" s="104" t="str">
        <f t="shared" ref="C582:C625" si="60">I582</f>
        <v>3DENEE</v>
      </c>
      <c r="D582" s="144" t="s">
        <v>316</v>
      </c>
      <c r="E582" s="105">
        <f>+'CALCULO TARIFAS CC '!R45</f>
        <v>0.52986898373699864</v>
      </c>
      <c r="F582" s="99">
        <f t="shared" ref="F582:F625" si="61">ROUND(J582,4)</f>
        <v>742366.7182</v>
      </c>
      <c r="G582" s="101">
        <f>+ROUND(F582*E582,2)</f>
        <v>393357.1</v>
      </c>
      <c r="H582" s="49" t="s">
        <v>295</v>
      </c>
      <c r="I582" s="81" t="s">
        <v>143</v>
      </c>
      <c r="J582" s="108">
        <v>742366.71817499993</v>
      </c>
      <c r="K582" s="38"/>
      <c r="L582" s="267"/>
      <c r="M582" s="268"/>
      <c r="N582" s="269"/>
      <c r="O582" s="269"/>
      <c r="P582" s="269"/>
      <c r="Q582" s="269"/>
      <c r="R582" s="269"/>
      <c r="T582" s="38"/>
      <c r="U582" s="38"/>
      <c r="V582" s="38"/>
      <c r="W582" s="38"/>
      <c r="X582" s="38"/>
      <c r="Y582" s="38"/>
      <c r="Z582" s="38"/>
    </row>
    <row r="583" spans="1:27" ht="14.25" customHeight="1" x14ac:dyDescent="0.25">
      <c r="A583" s="43">
        <f t="shared" ref="A583:A625" si="62">+A582+1</f>
        <v>579</v>
      </c>
      <c r="B583" s="44" t="s">
        <v>11</v>
      </c>
      <c r="C583" s="45" t="str">
        <f t="shared" si="60"/>
        <v>2C_C03</v>
      </c>
      <c r="D583" s="45"/>
      <c r="E583" s="46">
        <f>+'CALCULO TARIFAS CC '!$Q$45</f>
        <v>1.4128083020629791</v>
      </c>
      <c r="F583" s="106">
        <f t="shared" si="61"/>
        <v>1978.5150000000001</v>
      </c>
      <c r="G583" s="48">
        <f>+ROUND(F583*E583,2)</f>
        <v>2795.26</v>
      </c>
      <c r="H583" s="49" t="s">
        <v>292</v>
      </c>
      <c r="I583" s="27" t="s">
        <v>144</v>
      </c>
      <c r="J583" s="27">
        <v>1978.5150000000001</v>
      </c>
      <c r="K583" s="38"/>
      <c r="L583" s="267"/>
      <c r="M583" s="268"/>
      <c r="N583" s="269"/>
      <c r="O583" s="269"/>
      <c r="P583" s="283"/>
      <c r="Q583" s="269"/>
      <c r="R583" s="269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1:27" ht="14.25" customHeight="1" x14ac:dyDescent="0.25">
      <c r="A584" s="50">
        <f t="shared" si="62"/>
        <v>580</v>
      </c>
      <c r="B584" s="51"/>
      <c r="C584" s="52" t="str">
        <f t="shared" si="60"/>
        <v>2C_C04</v>
      </c>
      <c r="D584" s="52"/>
      <c r="E584" s="53">
        <f>+'CALCULO TARIFAS CC '!$Q$45</f>
        <v>1.4128083020629791</v>
      </c>
      <c r="F584" s="110">
        <f t="shared" si="61"/>
        <v>962.85199999999998</v>
      </c>
      <c r="G584" s="55">
        <f>+ROUND(F584*E584,2)</f>
        <v>1360.33</v>
      </c>
      <c r="H584" s="49" t="s">
        <v>292</v>
      </c>
      <c r="I584" s="27" t="s">
        <v>145</v>
      </c>
      <c r="J584" s="27">
        <v>962.85199999999998</v>
      </c>
      <c r="K584" s="38"/>
      <c r="L584" s="267"/>
      <c r="M584" s="268"/>
      <c r="N584" s="269"/>
      <c r="O584" s="269"/>
      <c r="P584" s="283"/>
      <c r="Q584" s="269"/>
      <c r="R584" s="269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1:27" ht="14.25" customHeight="1" x14ac:dyDescent="0.25">
      <c r="A585" s="50">
        <f t="shared" si="62"/>
        <v>581</v>
      </c>
      <c r="B585" s="51"/>
      <c r="C585" s="52" t="str">
        <f t="shared" si="60"/>
        <v>2C_C08</v>
      </c>
      <c r="D585" s="52"/>
      <c r="E585" s="53">
        <f>+'CALCULO TARIFAS CC '!$Q$45</f>
        <v>1.4128083020629791</v>
      </c>
      <c r="F585" s="110">
        <f t="shared" si="61"/>
        <v>0</v>
      </c>
      <c r="G585" s="55">
        <f t="shared" ref="G585:G623" si="63">+ROUND(F585*E585,2)</f>
        <v>0</v>
      </c>
      <c r="H585" s="49" t="s">
        <v>292</v>
      </c>
      <c r="I585" s="27" t="s">
        <v>146</v>
      </c>
      <c r="J585" s="27">
        <v>0</v>
      </c>
      <c r="K585" s="38"/>
      <c r="L585" s="267"/>
      <c r="M585" s="268"/>
      <c r="N585" s="269"/>
      <c r="O585" s="269"/>
      <c r="P585" s="283"/>
      <c r="Q585" s="269"/>
      <c r="R585" s="269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1:27" ht="14.25" customHeight="1" x14ac:dyDescent="0.25">
      <c r="A586" s="50">
        <f t="shared" si="62"/>
        <v>582</v>
      </c>
      <c r="B586" s="51"/>
      <c r="C586" s="52" t="str">
        <f t="shared" si="60"/>
        <v>2C_C13</v>
      </c>
      <c r="D586" s="52"/>
      <c r="E586" s="53">
        <f>+'CALCULO TARIFAS CC '!$Q$45</f>
        <v>1.4128083020629791</v>
      </c>
      <c r="F586" s="110">
        <f t="shared" si="61"/>
        <v>0</v>
      </c>
      <c r="G586" s="110">
        <f t="shared" si="63"/>
        <v>0</v>
      </c>
      <c r="H586" s="49" t="s">
        <v>292</v>
      </c>
      <c r="I586" s="27" t="s">
        <v>147</v>
      </c>
      <c r="J586" s="27">
        <v>0</v>
      </c>
      <c r="K586" s="38"/>
      <c r="L586" s="267"/>
      <c r="M586" s="268"/>
      <c r="N586" s="269"/>
      <c r="O586" s="269"/>
      <c r="P586" s="283"/>
      <c r="Q586" s="269"/>
      <c r="R586" s="269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1:27" ht="14.25" customHeight="1" x14ac:dyDescent="0.25">
      <c r="A587" s="50">
        <f t="shared" si="62"/>
        <v>583</v>
      </c>
      <c r="B587" s="51"/>
      <c r="C587" s="52" t="str">
        <f t="shared" si="60"/>
        <v>2G_C14</v>
      </c>
      <c r="D587" s="52"/>
      <c r="E587" s="53">
        <f>+'CALCULO TARIFAS CC '!$Q$45</f>
        <v>1.4128083020629791</v>
      </c>
      <c r="F587" s="110">
        <f t="shared" si="61"/>
        <v>79.448400000000007</v>
      </c>
      <c r="G587" s="55">
        <f t="shared" si="63"/>
        <v>112.25</v>
      </c>
      <c r="H587" s="49" t="s">
        <v>292</v>
      </c>
      <c r="I587" s="27" t="s">
        <v>161</v>
      </c>
      <c r="J587" s="27">
        <v>79.448409999999996</v>
      </c>
      <c r="K587" s="38"/>
      <c r="L587" s="267"/>
      <c r="M587" s="268"/>
      <c r="N587" s="269"/>
      <c r="O587" s="269"/>
      <c r="P587" s="283"/>
      <c r="Q587" s="269"/>
      <c r="R587" s="269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1:27" ht="14.25" customHeight="1" x14ac:dyDescent="0.25">
      <c r="A588" s="50">
        <f t="shared" si="62"/>
        <v>584</v>
      </c>
      <c r="B588" s="51"/>
      <c r="C588" s="52" t="str">
        <f t="shared" si="60"/>
        <v>2C_C15</v>
      </c>
      <c r="D588" s="52"/>
      <c r="E588" s="53">
        <f>+'CALCULO TARIFAS CC '!$Q$45</f>
        <v>1.4128083020629791</v>
      </c>
      <c r="F588" s="110">
        <f t="shared" si="61"/>
        <v>1.2649999999999999</v>
      </c>
      <c r="G588" s="55">
        <f t="shared" si="63"/>
        <v>1.79</v>
      </c>
      <c r="H588" s="49" t="s">
        <v>292</v>
      </c>
      <c r="I588" s="27" t="s">
        <v>148</v>
      </c>
      <c r="J588" s="27">
        <v>1.2649999999999999</v>
      </c>
      <c r="K588" s="38"/>
      <c r="L588" s="267"/>
      <c r="M588" s="268"/>
      <c r="N588" s="269"/>
      <c r="O588" s="269"/>
      <c r="P588" s="283"/>
      <c r="Q588" s="269"/>
      <c r="R588" s="269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:27" ht="14.25" customHeight="1" x14ac:dyDescent="0.25">
      <c r="A589" s="50">
        <f t="shared" si="62"/>
        <v>585</v>
      </c>
      <c r="B589" s="51"/>
      <c r="C589" s="52" t="str">
        <f t="shared" si="60"/>
        <v>2C_C16</v>
      </c>
      <c r="D589" s="52"/>
      <c r="E589" s="53">
        <f>+'CALCULO TARIFAS CC '!$Q$45</f>
        <v>1.4128083020629791</v>
      </c>
      <c r="F589" s="110">
        <f t="shared" si="61"/>
        <v>617.16139999999996</v>
      </c>
      <c r="G589" s="55">
        <f t="shared" si="63"/>
        <v>871.93</v>
      </c>
      <c r="H589" s="49" t="s">
        <v>292</v>
      </c>
      <c r="I589" s="27" t="s">
        <v>149</v>
      </c>
      <c r="J589" s="27">
        <v>617.16143699999998</v>
      </c>
      <c r="K589" s="38"/>
      <c r="L589" s="267"/>
      <c r="M589" s="268"/>
      <c r="N589" s="269"/>
      <c r="O589" s="269"/>
      <c r="P589" s="283"/>
      <c r="Q589" s="269"/>
      <c r="R589" s="269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1:27" ht="14.25" customHeight="1" x14ac:dyDescent="0.25">
      <c r="A590" s="50">
        <f t="shared" si="62"/>
        <v>586</v>
      </c>
      <c r="B590" s="51"/>
      <c r="C590" s="52" t="str">
        <f t="shared" si="60"/>
        <v>2G_C18</v>
      </c>
      <c r="D590" s="52"/>
      <c r="E590" s="53">
        <f>+'CALCULO TARIFAS CC '!$Q$45</f>
        <v>1.4128083020629791</v>
      </c>
      <c r="F590" s="110">
        <f t="shared" si="61"/>
        <v>23.4831</v>
      </c>
      <c r="G590" s="55">
        <f t="shared" si="63"/>
        <v>33.18</v>
      </c>
      <c r="H590" s="49" t="s">
        <v>292</v>
      </c>
      <c r="I590" s="27" t="s">
        <v>162</v>
      </c>
      <c r="J590" s="27">
        <v>23.483077000000002</v>
      </c>
      <c r="K590" s="38"/>
      <c r="L590" s="267"/>
      <c r="M590" s="268"/>
      <c r="N590" s="269"/>
      <c r="O590" s="269"/>
      <c r="P590" s="283"/>
      <c r="Q590" s="269"/>
      <c r="R590" s="269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:27" ht="14.25" customHeight="1" x14ac:dyDescent="0.25">
      <c r="A591" s="50">
        <f t="shared" si="62"/>
        <v>587</v>
      </c>
      <c r="B591" s="51"/>
      <c r="C591" s="52" t="str">
        <f t="shared" si="60"/>
        <v>2G_C19</v>
      </c>
      <c r="D591" s="52"/>
      <c r="E591" s="53">
        <f>+'CALCULO TARIFAS CC '!$Q$45</f>
        <v>1.4128083020629791</v>
      </c>
      <c r="F591" s="110">
        <f t="shared" si="61"/>
        <v>23.4528</v>
      </c>
      <c r="G591" s="55">
        <f t="shared" si="63"/>
        <v>33.130000000000003</v>
      </c>
      <c r="H591" s="49" t="s">
        <v>292</v>
      </c>
      <c r="I591" s="27" t="s">
        <v>163</v>
      </c>
      <c r="J591" s="27">
        <v>23.4528</v>
      </c>
      <c r="K591" s="38"/>
      <c r="L591" s="267"/>
      <c r="M591" s="268"/>
      <c r="N591" s="269"/>
      <c r="O591" s="269"/>
      <c r="P591" s="283"/>
      <c r="Q591" s="269"/>
      <c r="R591" s="269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1:27" ht="14.25" customHeight="1" x14ac:dyDescent="0.25">
      <c r="A592" s="50">
        <f t="shared" si="62"/>
        <v>588</v>
      </c>
      <c r="B592" s="51"/>
      <c r="C592" s="52" t="str">
        <f t="shared" si="60"/>
        <v>2G_C20</v>
      </c>
      <c r="D592" s="52"/>
      <c r="E592" s="53">
        <f>+'CALCULO TARIFAS CC '!$Q$45</f>
        <v>1.4128083020629791</v>
      </c>
      <c r="F592" s="110">
        <f t="shared" si="61"/>
        <v>0.23710000000000001</v>
      </c>
      <c r="G592" s="55">
        <f t="shared" si="63"/>
        <v>0.33</v>
      </c>
      <c r="H592" s="49" t="s">
        <v>292</v>
      </c>
      <c r="I592" s="27" t="s">
        <v>164</v>
      </c>
      <c r="J592" s="27">
        <v>0.23712</v>
      </c>
      <c r="K592" s="38"/>
      <c r="L592" s="267"/>
      <c r="M592" s="268"/>
      <c r="N592" s="269"/>
      <c r="O592" s="269"/>
      <c r="P592" s="283"/>
      <c r="Q592" s="269"/>
      <c r="R592" s="269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1:27" ht="14.25" customHeight="1" x14ac:dyDescent="0.25">
      <c r="A593" s="50">
        <f t="shared" si="62"/>
        <v>589</v>
      </c>
      <c r="B593" s="51"/>
      <c r="C593" s="52" t="str">
        <f t="shared" si="60"/>
        <v>2G_C29</v>
      </c>
      <c r="D593" s="52"/>
      <c r="E593" s="53">
        <f>+'CALCULO TARIFAS CC '!$Q$45</f>
        <v>1.4128083020629791</v>
      </c>
      <c r="F593" s="110">
        <f t="shared" si="61"/>
        <v>0</v>
      </c>
      <c r="G593" s="55">
        <f t="shared" si="63"/>
        <v>0</v>
      </c>
      <c r="H593" s="49" t="s">
        <v>292</v>
      </c>
      <c r="I593" s="27" t="s">
        <v>165</v>
      </c>
      <c r="J593" s="27">
        <v>0</v>
      </c>
      <c r="K593" s="38"/>
      <c r="L593" s="267"/>
      <c r="M593" s="268"/>
      <c r="N593" s="269"/>
      <c r="O593" s="269"/>
      <c r="P593" s="283"/>
      <c r="Q593" s="269"/>
      <c r="R593" s="269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:27" ht="14.25" customHeight="1" x14ac:dyDescent="0.25">
      <c r="A594" s="50">
        <f t="shared" si="62"/>
        <v>590</v>
      </c>
      <c r="B594" s="51"/>
      <c r="C594" s="52" t="str">
        <f t="shared" si="60"/>
        <v>2C_C39</v>
      </c>
      <c r="D594" s="52"/>
      <c r="E594" s="53">
        <f>+'CALCULO TARIFAS CC '!$Q$45</f>
        <v>1.4128083020629791</v>
      </c>
      <c r="F594" s="110">
        <f t="shared" si="61"/>
        <v>4318.6175999999996</v>
      </c>
      <c r="G594" s="55">
        <f>+ROUND(F594*E594,2)</f>
        <v>6101.38</v>
      </c>
      <c r="H594" s="49" t="s">
        <v>292</v>
      </c>
      <c r="I594" s="27" t="s">
        <v>150</v>
      </c>
      <c r="J594" s="27">
        <v>4318.6175999999996</v>
      </c>
      <c r="K594" s="38"/>
      <c r="L594" s="267"/>
      <c r="M594" s="268"/>
      <c r="N594" s="269"/>
      <c r="O594" s="269"/>
      <c r="P594" s="283"/>
      <c r="Q594" s="269"/>
      <c r="R594" s="269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1:27" ht="14.25" customHeight="1" x14ac:dyDescent="0.25">
      <c r="A595" s="50">
        <f t="shared" si="62"/>
        <v>591</v>
      </c>
      <c r="B595" s="51"/>
      <c r="C595" s="52" t="str">
        <f t="shared" si="60"/>
        <v>2C_C40</v>
      </c>
      <c r="D595" s="52"/>
      <c r="E595" s="53">
        <f>+'CALCULO TARIFAS CC '!$Q$45</f>
        <v>1.4128083020629791</v>
      </c>
      <c r="F595" s="110">
        <f t="shared" si="61"/>
        <v>466.613</v>
      </c>
      <c r="G595" s="55">
        <f t="shared" si="63"/>
        <v>659.23</v>
      </c>
      <c r="H595" s="49" t="s">
        <v>292</v>
      </c>
      <c r="I595" s="27" t="s">
        <v>151</v>
      </c>
      <c r="J595" s="27">
        <v>466.613</v>
      </c>
      <c r="K595" s="38"/>
      <c r="L595" s="267"/>
      <c r="M595" s="268"/>
      <c r="N595" s="269"/>
      <c r="O595" s="269"/>
      <c r="P595" s="283"/>
      <c r="Q595" s="269"/>
      <c r="R595" s="269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:27" x14ac:dyDescent="0.25">
      <c r="A596" s="50">
        <f t="shared" si="62"/>
        <v>592</v>
      </c>
      <c r="B596" s="51"/>
      <c r="C596" s="52" t="str">
        <f t="shared" si="60"/>
        <v>2C_C51</v>
      </c>
      <c r="D596" s="52"/>
      <c r="E596" s="53">
        <f>+'CALCULO TARIFAS CC '!$Q$45</f>
        <v>1.4128083020629791</v>
      </c>
      <c r="F596" s="110">
        <f t="shared" si="61"/>
        <v>1153.798</v>
      </c>
      <c r="G596" s="55">
        <f>+ROUND(F596*E596,2)</f>
        <v>1630.1</v>
      </c>
      <c r="H596" s="49" t="s">
        <v>292</v>
      </c>
      <c r="I596" s="27" t="s">
        <v>425</v>
      </c>
      <c r="J596" s="27">
        <v>1153.798</v>
      </c>
      <c r="K596" s="38"/>
      <c r="L596" s="267"/>
      <c r="M596" s="268"/>
      <c r="N596" s="269"/>
      <c r="O596" s="269"/>
      <c r="P596" s="283"/>
      <c r="Q596" s="269"/>
      <c r="R596" s="269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1:27" ht="14.25" customHeight="1" x14ac:dyDescent="0.25">
      <c r="A597" s="50">
        <f t="shared" si="62"/>
        <v>593</v>
      </c>
      <c r="B597" s="51"/>
      <c r="C597" s="52" t="str">
        <f t="shared" si="60"/>
        <v>2C_C58</v>
      </c>
      <c r="D597" s="52"/>
      <c r="E597" s="53">
        <f>+'CALCULO TARIFAS CC '!$Q$45</f>
        <v>1.4128083020629791</v>
      </c>
      <c r="F597" s="110">
        <f t="shared" si="61"/>
        <v>823.68200000000002</v>
      </c>
      <c r="G597" s="55">
        <f>+ROUND(F597*E597,2)</f>
        <v>1163.7</v>
      </c>
      <c r="H597" s="49" t="s">
        <v>292</v>
      </c>
      <c r="I597" s="27" t="s">
        <v>152</v>
      </c>
      <c r="J597" s="27">
        <v>823.68200000000002</v>
      </c>
      <c r="K597" s="38"/>
      <c r="L597" s="267"/>
      <c r="M597" s="268"/>
      <c r="N597" s="269"/>
      <c r="O597" s="269"/>
      <c r="P597" s="283"/>
      <c r="Q597" s="269"/>
      <c r="R597" s="269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:27" ht="14.25" customHeight="1" x14ac:dyDescent="0.25">
      <c r="A598" s="50">
        <f t="shared" si="62"/>
        <v>594</v>
      </c>
      <c r="B598" s="51"/>
      <c r="C598" s="52" t="str">
        <f t="shared" si="60"/>
        <v>2C_C60</v>
      </c>
      <c r="D598" s="52"/>
      <c r="E598" s="53">
        <f>+'CALCULO TARIFAS CC '!$Q$45</f>
        <v>1.4128083020629791</v>
      </c>
      <c r="F598" s="110">
        <f t="shared" si="61"/>
        <v>1318.077</v>
      </c>
      <c r="G598" s="55">
        <f>+ROUND(F598*E598,2)</f>
        <v>1862.19</v>
      </c>
      <c r="H598" s="49" t="s">
        <v>292</v>
      </c>
      <c r="I598" s="27" t="s">
        <v>357</v>
      </c>
      <c r="J598" s="27">
        <v>1318.077</v>
      </c>
      <c r="K598" s="38"/>
      <c r="L598" s="267"/>
      <c r="M598" s="268"/>
      <c r="N598" s="269"/>
      <c r="O598" s="269"/>
      <c r="P598" s="283"/>
      <c r="Q598" s="269"/>
      <c r="R598" s="269"/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1:27" ht="14.25" customHeight="1" x14ac:dyDescent="0.25">
      <c r="A599" s="50">
        <f t="shared" si="62"/>
        <v>595</v>
      </c>
      <c r="B599" s="51"/>
      <c r="C599" s="52" t="str">
        <f t="shared" si="60"/>
        <v>2C_C61</v>
      </c>
      <c r="D599" s="52"/>
      <c r="E599" s="53">
        <f>+'CALCULO TARIFAS CC '!$Q$45</f>
        <v>1.4128083020629791</v>
      </c>
      <c r="F599" s="110">
        <f t="shared" si="61"/>
        <v>4.6100000000000003</v>
      </c>
      <c r="G599" s="55">
        <f t="shared" si="63"/>
        <v>6.51</v>
      </c>
      <c r="H599" s="49" t="s">
        <v>292</v>
      </c>
      <c r="I599" s="27" t="s">
        <v>470</v>
      </c>
      <c r="J599" s="27">
        <v>4.6100000000000003</v>
      </c>
      <c r="K599" s="38"/>
      <c r="L599" s="267"/>
      <c r="M599" s="268"/>
      <c r="N599" s="269"/>
      <c r="O599" s="269"/>
      <c r="P599" s="283"/>
      <c r="Q599" s="269"/>
      <c r="R599" s="269"/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1:27" ht="14.25" customHeight="1" x14ac:dyDescent="0.25">
      <c r="A600" s="50">
        <f t="shared" si="62"/>
        <v>596</v>
      </c>
      <c r="B600" s="51"/>
      <c r="C600" s="52" t="str">
        <f t="shared" si="60"/>
        <v>2C_C64</v>
      </c>
      <c r="D600" s="52"/>
      <c r="E600" s="53">
        <f>+'CALCULO TARIFAS CC '!$Q$45</f>
        <v>1.4128083020629791</v>
      </c>
      <c r="F600" s="110">
        <f t="shared" si="61"/>
        <v>112.09</v>
      </c>
      <c r="G600" s="55">
        <f t="shared" si="63"/>
        <v>158.36000000000001</v>
      </c>
      <c r="H600" s="49" t="s">
        <v>292</v>
      </c>
      <c r="I600" s="27" t="s">
        <v>500</v>
      </c>
      <c r="J600" s="27">
        <v>112.09</v>
      </c>
      <c r="K600" s="38"/>
      <c r="L600" s="267"/>
      <c r="M600" s="268"/>
      <c r="N600" s="269"/>
      <c r="O600" s="269"/>
      <c r="P600" s="283"/>
      <c r="Q600" s="269"/>
      <c r="R600" s="269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:27" ht="14.25" customHeight="1" x14ac:dyDescent="0.25">
      <c r="A601" s="50">
        <f t="shared" si="62"/>
        <v>597</v>
      </c>
      <c r="B601" s="51"/>
      <c r="C601" s="52" t="str">
        <f t="shared" si="60"/>
        <v>2C_C66</v>
      </c>
      <c r="D601" s="52"/>
      <c r="E601" s="53">
        <f>+'CALCULO TARIFAS CC '!$Q$45</f>
        <v>1.4128083020629791</v>
      </c>
      <c r="F601" s="110">
        <f t="shared" si="61"/>
        <v>26.25</v>
      </c>
      <c r="G601" s="55">
        <f t="shared" si="63"/>
        <v>37.090000000000003</v>
      </c>
      <c r="H601" s="49" t="s">
        <v>292</v>
      </c>
      <c r="I601" s="27" t="s">
        <v>595</v>
      </c>
      <c r="J601" s="27">
        <v>26.25</v>
      </c>
      <c r="K601" s="38"/>
      <c r="L601" s="267"/>
      <c r="M601" s="268"/>
      <c r="N601" s="269"/>
      <c r="O601" s="269"/>
      <c r="P601" s="283"/>
      <c r="Q601" s="269"/>
      <c r="R601" s="269"/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1:27" ht="14.25" customHeight="1" x14ac:dyDescent="0.25">
      <c r="A602" s="50">
        <f t="shared" si="62"/>
        <v>598</v>
      </c>
      <c r="B602" s="51"/>
      <c r="C602" s="52" t="str">
        <f t="shared" si="60"/>
        <v>2D_D01</v>
      </c>
      <c r="D602" s="52"/>
      <c r="E602" s="53">
        <f>+'CALCULO TARIFAS CC '!$Q$45</f>
        <v>1.4128083020629791</v>
      </c>
      <c r="F602" s="110">
        <f t="shared" si="61"/>
        <v>156346.04029999999</v>
      </c>
      <c r="G602" s="55">
        <f t="shared" ref="G602:G609" si="64">+ROUND(F602*E602,2)</f>
        <v>220886.98</v>
      </c>
      <c r="H602" s="49" t="s">
        <v>292</v>
      </c>
      <c r="I602" s="27" t="s">
        <v>153</v>
      </c>
      <c r="J602" s="27">
        <v>156346.04029999999</v>
      </c>
      <c r="K602" s="38"/>
      <c r="L602" s="267"/>
      <c r="M602" s="268"/>
      <c r="N602" s="269"/>
      <c r="O602" s="269"/>
      <c r="P602" s="283"/>
      <c r="Q602" s="269"/>
      <c r="R602" s="269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:27" ht="14.25" customHeight="1" x14ac:dyDescent="0.25">
      <c r="A603" s="50">
        <f t="shared" si="62"/>
        <v>599</v>
      </c>
      <c r="B603" s="51"/>
      <c r="C603" s="52" t="str">
        <f t="shared" si="60"/>
        <v>2D_D02</v>
      </c>
      <c r="D603" s="52"/>
      <c r="E603" s="53">
        <f>+'CALCULO TARIFAS CC '!$Q$45</f>
        <v>1.4128083020629791</v>
      </c>
      <c r="F603" s="110">
        <f t="shared" si="61"/>
        <v>109273.4247</v>
      </c>
      <c r="G603" s="55">
        <f t="shared" si="64"/>
        <v>154382.39999999999</v>
      </c>
      <c r="H603" s="49" t="s">
        <v>292</v>
      </c>
      <c r="I603" s="27" t="s">
        <v>154</v>
      </c>
      <c r="J603" s="27">
        <v>109273.4247</v>
      </c>
      <c r="K603" s="38"/>
      <c r="L603" s="267"/>
      <c r="M603" s="268"/>
      <c r="N603" s="269"/>
      <c r="O603" s="269"/>
      <c r="P603" s="283"/>
      <c r="Q603" s="269"/>
      <c r="R603" s="269"/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1:27" s="257" customFormat="1" ht="14.25" customHeight="1" x14ac:dyDescent="0.25">
      <c r="A604" s="50">
        <f t="shared" si="62"/>
        <v>600</v>
      </c>
      <c r="B604" s="51"/>
      <c r="C604" s="52" t="str">
        <f t="shared" si="60"/>
        <v>2D_D03</v>
      </c>
      <c r="D604" s="52"/>
      <c r="E604" s="53">
        <f>+'CALCULO TARIFAS CC '!$Q$45</f>
        <v>1.4128083020629791</v>
      </c>
      <c r="F604" s="110">
        <f t="shared" ref="F604:F607" si="65">ROUND(J604,4)</f>
        <v>70230.87</v>
      </c>
      <c r="G604" s="55">
        <f t="shared" si="64"/>
        <v>99222.76</v>
      </c>
      <c r="H604" s="49" t="s">
        <v>292</v>
      </c>
      <c r="I604" s="27" t="s">
        <v>155</v>
      </c>
      <c r="J604" s="27">
        <v>70230.869990000007</v>
      </c>
      <c r="K604" s="38"/>
      <c r="L604" s="267"/>
      <c r="M604" s="268"/>
      <c r="N604" s="269"/>
      <c r="O604" s="269"/>
      <c r="P604" s="283"/>
      <c r="Q604" s="269"/>
      <c r="R604" s="269"/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1:27" s="300" customFormat="1" ht="14.25" customHeight="1" x14ac:dyDescent="0.25">
      <c r="A605" s="50">
        <f t="shared" si="62"/>
        <v>601</v>
      </c>
      <c r="B605" s="51"/>
      <c r="C605" s="52" t="str">
        <f t="shared" si="60"/>
        <v>2D_D04</v>
      </c>
      <c r="D605" s="52"/>
      <c r="E605" s="53">
        <f>+'CALCULO TARIFAS CC '!$Q$45</f>
        <v>1.4128083020629791</v>
      </c>
      <c r="F605" s="110">
        <f t="shared" si="65"/>
        <v>53023.770799999998</v>
      </c>
      <c r="G605" s="55">
        <f t="shared" si="64"/>
        <v>74912.42</v>
      </c>
      <c r="H605" s="49" t="s">
        <v>292</v>
      </c>
      <c r="I605" s="27" t="s">
        <v>156</v>
      </c>
      <c r="J605" s="27">
        <v>53023.770759999999</v>
      </c>
      <c r="K605" s="38"/>
      <c r="L605" s="267"/>
      <c r="M605" s="268"/>
      <c r="N605" s="269"/>
      <c r="O605" s="269"/>
      <c r="P605" s="283"/>
      <c r="Q605" s="269"/>
      <c r="R605" s="269"/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1:27" ht="14.25" customHeight="1" x14ac:dyDescent="0.25">
      <c r="A606" s="50">
        <f t="shared" si="62"/>
        <v>602</v>
      </c>
      <c r="B606" s="51"/>
      <c r="C606" s="52" t="str">
        <f t="shared" si="60"/>
        <v>2D_D05</v>
      </c>
      <c r="D606" s="52"/>
      <c r="E606" s="53">
        <f>+'CALCULO TARIFAS CC '!$Q$45</f>
        <v>1.4128083020629791</v>
      </c>
      <c r="F606" s="110">
        <f t="shared" si="65"/>
        <v>10995.973</v>
      </c>
      <c r="G606" s="55">
        <f t="shared" si="64"/>
        <v>15535.2</v>
      </c>
      <c r="H606" s="49" t="s">
        <v>292</v>
      </c>
      <c r="I606" s="27" t="s">
        <v>157</v>
      </c>
      <c r="J606" s="27">
        <v>10995.973040000001</v>
      </c>
      <c r="K606" s="38"/>
      <c r="L606" s="267"/>
      <c r="M606" s="268"/>
      <c r="N606" s="269"/>
      <c r="O606" s="269"/>
      <c r="P606" s="283"/>
      <c r="Q606" s="269"/>
      <c r="R606" s="269"/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1:27" ht="14.25" customHeight="1" x14ac:dyDescent="0.25">
      <c r="A607" s="50">
        <f t="shared" si="62"/>
        <v>603</v>
      </c>
      <c r="B607" s="51"/>
      <c r="C607" s="52" t="str">
        <f t="shared" si="60"/>
        <v>2D_D06</v>
      </c>
      <c r="D607" s="52"/>
      <c r="E607" s="53">
        <f>+'CALCULO TARIFAS CC '!$Q$45</f>
        <v>1.4128083020629791</v>
      </c>
      <c r="F607" s="110">
        <f t="shared" si="65"/>
        <v>420.35599999999999</v>
      </c>
      <c r="G607" s="55">
        <f t="shared" si="64"/>
        <v>593.88</v>
      </c>
      <c r="H607" s="49" t="s">
        <v>292</v>
      </c>
      <c r="I607" s="27" t="s">
        <v>158</v>
      </c>
      <c r="J607" s="27">
        <v>420.35602</v>
      </c>
      <c r="K607" s="38"/>
      <c r="L607" s="267"/>
      <c r="M607" s="268"/>
      <c r="N607" s="269"/>
      <c r="O607" s="269"/>
      <c r="P607" s="283"/>
      <c r="Q607" s="269"/>
      <c r="R607" s="269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:27" ht="14.25" customHeight="1" x14ac:dyDescent="0.25">
      <c r="A608" s="50">
        <f t="shared" si="62"/>
        <v>604</v>
      </c>
      <c r="B608" s="51"/>
      <c r="C608" s="52" t="str">
        <f t="shared" si="60"/>
        <v>2D_D07</v>
      </c>
      <c r="D608" s="52"/>
      <c r="E608" s="53">
        <f>+'CALCULO TARIFAS CC '!$Q$45</f>
        <v>1.4128083020629791</v>
      </c>
      <c r="F608" s="110">
        <f t="shared" si="61"/>
        <v>6345.6895000000004</v>
      </c>
      <c r="G608" s="55">
        <f t="shared" si="64"/>
        <v>8965.24</v>
      </c>
      <c r="H608" s="49" t="s">
        <v>292</v>
      </c>
      <c r="I608" s="27" t="s">
        <v>159</v>
      </c>
      <c r="J608" s="27">
        <v>6345.6894590000002</v>
      </c>
      <c r="K608" s="38"/>
      <c r="L608" s="267"/>
      <c r="M608" s="268"/>
      <c r="N608" s="269"/>
      <c r="O608" s="269"/>
      <c r="P608" s="283"/>
      <c r="Q608" s="269"/>
      <c r="R608" s="269"/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1:27" ht="14.25" customHeight="1" x14ac:dyDescent="0.25">
      <c r="A609" s="50">
        <f t="shared" si="62"/>
        <v>605</v>
      </c>
      <c r="B609" s="51"/>
      <c r="C609" s="52" t="str">
        <f t="shared" si="60"/>
        <v>2D_D08</v>
      </c>
      <c r="D609" s="52"/>
      <c r="E609" s="53">
        <f>+'CALCULO TARIFAS CC '!$Q$45</f>
        <v>1.4128083020629791</v>
      </c>
      <c r="F609" s="110">
        <f t="shared" si="61"/>
        <v>753.01</v>
      </c>
      <c r="G609" s="55">
        <f t="shared" si="64"/>
        <v>1063.8599999999999</v>
      </c>
      <c r="H609" s="49" t="s">
        <v>292</v>
      </c>
      <c r="I609" s="27" t="s">
        <v>160</v>
      </c>
      <c r="J609" s="27">
        <v>753.00999330000002</v>
      </c>
      <c r="K609" s="38"/>
      <c r="L609" s="267"/>
      <c r="M609" s="268"/>
      <c r="N609" s="269"/>
      <c r="O609" s="269"/>
      <c r="P609" s="283"/>
      <c r="Q609" s="269"/>
      <c r="R609" s="269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:27" ht="14.25" customHeight="1" x14ac:dyDescent="0.25">
      <c r="A610" s="50">
        <f t="shared" si="62"/>
        <v>606</v>
      </c>
      <c r="B610" s="51"/>
      <c r="C610" s="52" t="str">
        <f t="shared" si="60"/>
        <v>2G_G01</v>
      </c>
      <c r="D610" s="52"/>
      <c r="E610" s="53">
        <f>+'CALCULO TARIFAS CC '!$Q$45</f>
        <v>1.4128083020629791</v>
      </c>
      <c r="F610" s="110">
        <f t="shared" si="61"/>
        <v>527.92200000000003</v>
      </c>
      <c r="G610" s="55">
        <f t="shared" si="63"/>
        <v>745.85</v>
      </c>
      <c r="H610" s="49" t="s">
        <v>292</v>
      </c>
      <c r="I610" s="27" t="s">
        <v>166</v>
      </c>
      <c r="J610" s="27">
        <v>527.92204600000002</v>
      </c>
      <c r="K610" s="38"/>
      <c r="L610" s="267"/>
      <c r="M610" s="268"/>
      <c r="N610" s="269"/>
      <c r="O610" s="269"/>
      <c r="P610" s="283"/>
      <c r="Q610" s="269"/>
      <c r="R610" s="269"/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1:27" ht="14.25" customHeight="1" x14ac:dyDescent="0.25">
      <c r="A611" s="50">
        <f t="shared" si="62"/>
        <v>607</v>
      </c>
      <c r="B611" s="51"/>
      <c r="C611" s="52" t="str">
        <f t="shared" si="60"/>
        <v>2G_G02</v>
      </c>
      <c r="D611" s="52"/>
      <c r="E611" s="53">
        <f>+'CALCULO TARIFAS CC '!$Q$45</f>
        <v>1.4128083020629791</v>
      </c>
      <c r="F611" s="110">
        <f t="shared" si="61"/>
        <v>709.52089999999998</v>
      </c>
      <c r="G611" s="202">
        <f t="shared" si="63"/>
        <v>1002.42</v>
      </c>
      <c r="H611" s="49" t="s">
        <v>292</v>
      </c>
      <c r="I611" s="27" t="s">
        <v>167</v>
      </c>
      <c r="J611" s="27">
        <v>709.520938</v>
      </c>
      <c r="K611" s="38"/>
      <c r="L611" s="267"/>
      <c r="M611" s="268"/>
      <c r="N611" s="269"/>
      <c r="O611" s="269"/>
      <c r="P611" s="283"/>
      <c r="Q611" s="269"/>
      <c r="R611" s="269"/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1:27" ht="14.25" customHeight="1" x14ac:dyDescent="0.25">
      <c r="A612" s="50">
        <f t="shared" si="62"/>
        <v>608</v>
      </c>
      <c r="B612" s="51"/>
      <c r="C612" s="52" t="str">
        <f t="shared" si="60"/>
        <v>2G_G03</v>
      </c>
      <c r="D612" s="52"/>
      <c r="E612" s="53">
        <f>+'CALCULO TARIFAS CC '!$Q$45</f>
        <v>1.4128083020629791</v>
      </c>
      <c r="F612" s="110">
        <f t="shared" si="61"/>
        <v>267.90719999999999</v>
      </c>
      <c r="G612" s="202">
        <f t="shared" si="63"/>
        <v>378.5</v>
      </c>
      <c r="H612" s="49" t="s">
        <v>292</v>
      </c>
      <c r="I612" s="27" t="s">
        <v>168</v>
      </c>
      <c r="J612" s="27">
        <v>267.90720099999999</v>
      </c>
      <c r="K612" s="38"/>
      <c r="L612" s="267"/>
      <c r="M612" s="268"/>
      <c r="N612" s="269"/>
      <c r="O612" s="269"/>
      <c r="P612" s="283"/>
      <c r="Q612" s="269"/>
      <c r="R612" s="269"/>
      <c r="S612" s="38"/>
      <c r="T612" s="38"/>
      <c r="U612" s="38"/>
      <c r="V612" s="38"/>
      <c r="W612" s="38"/>
      <c r="X612" s="38"/>
      <c r="Y612" s="38"/>
      <c r="Z612" s="38"/>
      <c r="AA612" s="38"/>
    </row>
    <row r="613" spans="1:27" s="198" customFormat="1" ht="14.25" customHeight="1" x14ac:dyDescent="0.25">
      <c r="A613" s="50">
        <f t="shared" si="62"/>
        <v>609</v>
      </c>
      <c r="B613" s="51"/>
      <c r="C613" s="52" t="str">
        <f t="shared" si="60"/>
        <v>2G_G05</v>
      </c>
      <c r="D613" s="52"/>
      <c r="E613" s="53">
        <f>+'CALCULO TARIFAS CC '!$Q$45</f>
        <v>1.4128083020629791</v>
      </c>
      <c r="F613" s="110">
        <f t="shared" si="61"/>
        <v>901.53989999999999</v>
      </c>
      <c r="G613" s="202">
        <f>+ROUND(F613*E613,2)</f>
        <v>1273.7</v>
      </c>
      <c r="H613" s="49" t="s">
        <v>292</v>
      </c>
      <c r="I613" s="27" t="s">
        <v>169</v>
      </c>
      <c r="J613" s="27">
        <v>901.53989999999999</v>
      </c>
      <c r="K613" s="38"/>
      <c r="L613" s="267"/>
      <c r="M613" s="268"/>
      <c r="N613" s="269"/>
      <c r="O613" s="269"/>
      <c r="P613" s="283"/>
      <c r="Q613" s="269"/>
      <c r="R613" s="269"/>
      <c r="S613" s="38"/>
      <c r="T613" s="38"/>
      <c r="U613" s="38"/>
      <c r="V613" s="38"/>
      <c r="W613" s="38"/>
      <c r="X613" s="38"/>
      <c r="Y613" s="38"/>
      <c r="Z613" s="38"/>
      <c r="AA613" s="38"/>
    </row>
    <row r="614" spans="1:27" s="198" customFormat="1" ht="14.25" customHeight="1" x14ac:dyDescent="0.25">
      <c r="A614" s="50">
        <f t="shared" si="62"/>
        <v>610</v>
      </c>
      <c r="B614" s="51"/>
      <c r="C614" s="52" t="str">
        <f t="shared" si="60"/>
        <v>2G_G06</v>
      </c>
      <c r="D614" s="52"/>
      <c r="E614" s="53">
        <f>+'CALCULO TARIFAS CC '!$Q$45</f>
        <v>1.4128083020629791</v>
      </c>
      <c r="F614" s="110">
        <f t="shared" si="61"/>
        <v>0</v>
      </c>
      <c r="G614" s="202">
        <f t="shared" si="63"/>
        <v>0</v>
      </c>
      <c r="H614" s="49" t="s">
        <v>292</v>
      </c>
      <c r="I614" s="27" t="s">
        <v>170</v>
      </c>
      <c r="J614" s="27">
        <v>0</v>
      </c>
      <c r="K614" s="38"/>
      <c r="L614" s="267"/>
      <c r="M614" s="268"/>
      <c r="N614" s="269"/>
      <c r="O614" s="269"/>
      <c r="P614" s="283"/>
      <c r="Q614" s="269"/>
      <c r="R614" s="269"/>
      <c r="S614" s="38"/>
      <c r="T614" s="38"/>
      <c r="U614" s="38"/>
      <c r="V614" s="38"/>
      <c r="W614" s="38"/>
      <c r="X614" s="38"/>
      <c r="Y614" s="38"/>
      <c r="Z614" s="38"/>
      <c r="AA614" s="38"/>
    </row>
    <row r="615" spans="1:27" ht="14.25" customHeight="1" x14ac:dyDescent="0.25">
      <c r="A615" s="50">
        <f t="shared" si="62"/>
        <v>611</v>
      </c>
      <c r="B615" s="51"/>
      <c r="C615" s="52" t="str">
        <f t="shared" si="60"/>
        <v>2G_G07</v>
      </c>
      <c r="D615" s="52"/>
      <c r="E615" s="53">
        <f>+'CALCULO TARIFAS CC '!$Q$45</f>
        <v>1.4128083020629791</v>
      </c>
      <c r="F615" s="110">
        <f t="shared" si="61"/>
        <v>213.34870000000001</v>
      </c>
      <c r="G615" s="55">
        <f t="shared" si="63"/>
        <v>301.42</v>
      </c>
      <c r="H615" s="49" t="s">
        <v>292</v>
      </c>
      <c r="I615" s="27" t="s">
        <v>171</v>
      </c>
      <c r="J615" s="27">
        <v>213.348727</v>
      </c>
      <c r="K615" s="38"/>
      <c r="L615" s="267"/>
      <c r="M615" s="268"/>
      <c r="N615" s="269"/>
      <c r="O615" s="269"/>
      <c r="P615" s="283"/>
      <c r="Q615" s="269"/>
      <c r="R615" s="269"/>
      <c r="S615" s="38"/>
      <c r="T615" s="38"/>
      <c r="U615" s="38"/>
      <c r="V615" s="38"/>
      <c r="W615" s="38"/>
      <c r="X615" s="38"/>
      <c r="Y615" s="38"/>
      <c r="Z615" s="38"/>
      <c r="AA615" s="38"/>
    </row>
    <row r="616" spans="1:27" ht="14.25" customHeight="1" x14ac:dyDescent="0.25">
      <c r="A616" s="50">
        <f t="shared" si="62"/>
        <v>612</v>
      </c>
      <c r="B616" s="51"/>
      <c r="C616" s="52" t="str">
        <f t="shared" si="60"/>
        <v>2G_G08</v>
      </c>
      <c r="D616" s="52"/>
      <c r="E616" s="53">
        <f>+'CALCULO TARIFAS CC '!$Q$45</f>
        <v>1.4128083020629791</v>
      </c>
      <c r="F616" s="110">
        <f t="shared" si="61"/>
        <v>129.738</v>
      </c>
      <c r="G616" s="55">
        <f t="shared" si="63"/>
        <v>183.29</v>
      </c>
      <c r="H616" s="49" t="s">
        <v>292</v>
      </c>
      <c r="I616" s="27" t="s">
        <v>172</v>
      </c>
      <c r="J616" s="27">
        <v>129.738</v>
      </c>
      <c r="K616" s="38"/>
      <c r="L616" s="267"/>
      <c r="M616" s="268"/>
      <c r="N616" s="269"/>
      <c r="O616" s="269"/>
      <c r="P616" s="283"/>
      <c r="Q616" s="269"/>
      <c r="R616" s="269"/>
      <c r="S616" s="38"/>
      <c r="T616" s="38"/>
      <c r="U616" s="38"/>
      <c r="V616" s="38"/>
      <c r="W616" s="38"/>
      <c r="X616" s="38"/>
      <c r="Y616" s="38"/>
      <c r="Z616" s="38"/>
      <c r="AA616" s="38"/>
    </row>
    <row r="617" spans="1:27" ht="14.25" customHeight="1" x14ac:dyDescent="0.25">
      <c r="A617" s="50">
        <f t="shared" si="62"/>
        <v>613</v>
      </c>
      <c r="B617" s="51"/>
      <c r="C617" s="52" t="str">
        <f t="shared" si="60"/>
        <v>2G_G09</v>
      </c>
      <c r="D617" s="52"/>
      <c r="E617" s="53">
        <f>+'CALCULO TARIFAS CC '!$Q$45</f>
        <v>1.4128083020629791</v>
      </c>
      <c r="F617" s="110">
        <f t="shared" si="61"/>
        <v>57.740299999999998</v>
      </c>
      <c r="G617" s="55">
        <f t="shared" si="63"/>
        <v>81.58</v>
      </c>
      <c r="H617" s="49" t="s">
        <v>292</v>
      </c>
      <c r="I617" s="27" t="s">
        <v>173</v>
      </c>
      <c r="J617" s="27">
        <v>57.740267000000003</v>
      </c>
      <c r="K617" s="38"/>
      <c r="L617" s="267"/>
      <c r="M617" s="268"/>
      <c r="N617" s="269"/>
      <c r="O617" s="269"/>
      <c r="P617" s="283"/>
      <c r="Q617" s="269"/>
      <c r="R617" s="269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1:27" ht="14.25" customHeight="1" x14ac:dyDescent="0.25">
      <c r="A618" s="50">
        <f t="shared" si="62"/>
        <v>614</v>
      </c>
      <c r="B618" s="51"/>
      <c r="C618" s="52" t="str">
        <f t="shared" si="60"/>
        <v>2G_G10</v>
      </c>
      <c r="D618" s="52"/>
      <c r="E618" s="53">
        <f>+'CALCULO TARIFAS CC '!$Q$45</f>
        <v>1.4128083020629791</v>
      </c>
      <c r="F618" s="110">
        <f t="shared" si="61"/>
        <v>23.465</v>
      </c>
      <c r="G618" s="55">
        <f t="shared" si="63"/>
        <v>33.15</v>
      </c>
      <c r="H618" s="49" t="s">
        <v>292</v>
      </c>
      <c r="I618" s="27" t="s">
        <v>174</v>
      </c>
      <c r="J618" s="27">
        <v>23.464950000000002</v>
      </c>
      <c r="K618" s="38"/>
      <c r="L618" s="267"/>
      <c r="M618" s="268"/>
      <c r="N618" s="269"/>
      <c r="O618" s="269"/>
      <c r="P618" s="283"/>
      <c r="Q618" s="269"/>
      <c r="R618" s="269"/>
      <c r="S618" s="38"/>
      <c r="T618" s="38"/>
      <c r="U618" s="38"/>
      <c r="V618" s="38"/>
      <c r="W618" s="38"/>
      <c r="X618" s="38"/>
      <c r="Y618" s="38"/>
      <c r="Z618" s="38"/>
      <c r="AA618" s="38"/>
    </row>
    <row r="619" spans="1:27" s="284" customFormat="1" ht="14.25" customHeight="1" x14ac:dyDescent="0.25">
      <c r="A619" s="50">
        <f t="shared" si="62"/>
        <v>615</v>
      </c>
      <c r="B619" s="51"/>
      <c r="C619" s="52" t="str">
        <f t="shared" si="60"/>
        <v>2G_G11</v>
      </c>
      <c r="D619" s="52"/>
      <c r="E619" s="53">
        <f>+'CALCULO TARIFAS CC '!$Q$45</f>
        <v>1.4128083020629791</v>
      </c>
      <c r="F619" s="110">
        <f t="shared" si="61"/>
        <v>34.793700000000001</v>
      </c>
      <c r="G619" s="55">
        <f t="shared" si="63"/>
        <v>49.16</v>
      </c>
      <c r="H619" s="49" t="s">
        <v>292</v>
      </c>
      <c r="I619" s="27" t="s">
        <v>175</v>
      </c>
      <c r="J619" s="27">
        <v>34.793660000000003</v>
      </c>
      <c r="K619" s="38"/>
      <c r="L619" s="267"/>
      <c r="M619" s="268"/>
      <c r="N619" s="269"/>
      <c r="O619" s="269"/>
      <c r="P619" s="283"/>
      <c r="Q619" s="269"/>
      <c r="R619" s="269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1:27" s="339" customFormat="1" ht="14.25" customHeight="1" x14ac:dyDescent="0.25">
      <c r="A620" s="50">
        <f t="shared" si="62"/>
        <v>616</v>
      </c>
      <c r="B620" s="51"/>
      <c r="C620" s="52" t="str">
        <f t="shared" si="60"/>
        <v>2G_G12</v>
      </c>
      <c r="D620" s="52"/>
      <c r="E620" s="53">
        <f>+'CALCULO TARIFAS CC '!$Q$45</f>
        <v>1.4128083020629791</v>
      </c>
      <c r="F620" s="110">
        <f t="shared" si="61"/>
        <v>67.365899999999996</v>
      </c>
      <c r="G620" s="55">
        <f t="shared" si="63"/>
        <v>95.18</v>
      </c>
      <c r="H620" s="49" t="s">
        <v>292</v>
      </c>
      <c r="I620" s="27" t="s">
        <v>358</v>
      </c>
      <c r="J620" s="27">
        <v>67.36591</v>
      </c>
      <c r="K620" s="38"/>
      <c r="L620" s="267"/>
      <c r="M620" s="268"/>
      <c r="N620" s="269"/>
      <c r="O620" s="269"/>
      <c r="P620" s="283"/>
      <c r="Q620" s="269"/>
      <c r="R620" s="269"/>
      <c r="S620" s="38"/>
      <c r="T620" s="38"/>
      <c r="U620" s="38"/>
      <c r="V620" s="38"/>
      <c r="W620" s="38"/>
      <c r="X620" s="38"/>
      <c r="Y620" s="38"/>
      <c r="Z620" s="38"/>
      <c r="AA620" s="38"/>
    </row>
    <row r="621" spans="1:27" ht="14.25" customHeight="1" x14ac:dyDescent="0.25">
      <c r="A621" s="50">
        <f t="shared" si="62"/>
        <v>617</v>
      </c>
      <c r="B621" s="51"/>
      <c r="C621" s="52" t="str">
        <f t="shared" si="60"/>
        <v>2G_G13</v>
      </c>
      <c r="D621" s="52"/>
      <c r="E621" s="53">
        <f>+'CALCULO TARIFAS CC '!$Q$45</f>
        <v>1.4128083020629791</v>
      </c>
      <c r="F621" s="110">
        <f t="shared" si="61"/>
        <v>0</v>
      </c>
      <c r="G621" s="55">
        <f t="shared" si="63"/>
        <v>0</v>
      </c>
      <c r="H621" s="49" t="s">
        <v>292</v>
      </c>
      <c r="I621" s="27" t="s">
        <v>471</v>
      </c>
      <c r="J621" s="27">
        <v>0</v>
      </c>
      <c r="K621" s="38"/>
      <c r="L621" s="267"/>
      <c r="M621" s="268"/>
      <c r="N621" s="269"/>
      <c r="O621" s="269"/>
      <c r="P621" s="283"/>
      <c r="Q621" s="269"/>
      <c r="R621" s="269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1:27" s="270" customFormat="1" ht="14.25" customHeight="1" x14ac:dyDescent="0.25">
      <c r="A622" s="50">
        <f t="shared" si="62"/>
        <v>618</v>
      </c>
      <c r="B622" s="40"/>
      <c r="C622" s="52" t="str">
        <f t="shared" si="60"/>
        <v>2G_G14</v>
      </c>
      <c r="D622" s="52"/>
      <c r="E622" s="53">
        <f>+'CALCULO TARIFAS CC '!$Q$45</f>
        <v>1.4128083020629791</v>
      </c>
      <c r="F622" s="110">
        <f t="shared" si="61"/>
        <v>36.854999999999997</v>
      </c>
      <c r="G622" s="55">
        <f t="shared" si="63"/>
        <v>52.07</v>
      </c>
      <c r="H622" s="49" t="s">
        <v>292</v>
      </c>
      <c r="I622" s="27" t="s">
        <v>472</v>
      </c>
      <c r="J622" s="27">
        <v>36.854999999999997</v>
      </c>
      <c r="K622" s="38"/>
      <c r="L622" s="267"/>
      <c r="M622" s="268"/>
      <c r="N622" s="269"/>
      <c r="O622" s="269"/>
      <c r="P622" s="283"/>
      <c r="Q622" s="269"/>
      <c r="R622" s="269"/>
      <c r="S622" s="38"/>
      <c r="T622" s="38"/>
      <c r="U622" s="38"/>
      <c r="V622" s="38"/>
      <c r="W622" s="38"/>
      <c r="X622" s="38"/>
      <c r="Y622" s="38"/>
      <c r="Z622" s="38"/>
      <c r="AA622" s="38"/>
    </row>
    <row r="623" spans="1:27" s="270" customFormat="1" ht="14.25" customHeight="1" x14ac:dyDescent="0.25">
      <c r="A623" s="50">
        <f t="shared" si="62"/>
        <v>619</v>
      </c>
      <c r="B623" s="40"/>
      <c r="C623" s="52" t="str">
        <f t="shared" si="60"/>
        <v>2G_G16</v>
      </c>
      <c r="D623" s="52"/>
      <c r="E623" s="53">
        <f>+'CALCULO TARIFAS CC '!$Q$45</f>
        <v>1.4128083020629791</v>
      </c>
      <c r="F623" s="110">
        <f t="shared" ref="F623:F624" si="66">ROUND(J623,4)</f>
        <v>61.978499999999997</v>
      </c>
      <c r="G623" s="55">
        <f t="shared" si="63"/>
        <v>87.56</v>
      </c>
      <c r="H623" s="49" t="s">
        <v>292</v>
      </c>
      <c r="I623" s="27" t="s">
        <v>758</v>
      </c>
      <c r="J623" s="27">
        <v>61.978499999999997</v>
      </c>
      <c r="K623" s="38"/>
      <c r="L623" s="267"/>
      <c r="M623" s="268"/>
      <c r="N623" s="269"/>
      <c r="O623" s="269"/>
      <c r="P623" s="283"/>
      <c r="Q623" s="269"/>
      <c r="R623" s="269"/>
      <c r="S623" s="38"/>
      <c r="T623" s="38"/>
      <c r="U623" s="38"/>
      <c r="V623" s="38"/>
      <c r="W623" s="38"/>
      <c r="X623" s="38"/>
      <c r="Y623" s="38"/>
      <c r="Z623" s="38"/>
      <c r="AA623" s="38"/>
    </row>
    <row r="624" spans="1:27" s="270" customFormat="1" ht="14.25" customHeight="1" x14ac:dyDescent="0.25">
      <c r="A624" s="50">
        <f t="shared" si="62"/>
        <v>620</v>
      </c>
      <c r="B624" s="40"/>
      <c r="C624" s="52" t="str">
        <f t="shared" si="60"/>
        <v>2U_U02</v>
      </c>
      <c r="D624" s="52"/>
      <c r="E624" s="53">
        <f>+'CALCULO TARIFAS CC '!$Q$45</f>
        <v>1.4128083020629791</v>
      </c>
      <c r="F624" s="110">
        <f t="shared" si="66"/>
        <v>18493.500400000001</v>
      </c>
      <c r="G624" s="55">
        <f>+ROUND(F624*E624,2)</f>
        <v>26127.77</v>
      </c>
      <c r="H624" s="49" t="s">
        <v>292</v>
      </c>
      <c r="I624" s="27" t="s">
        <v>176</v>
      </c>
      <c r="J624" s="27">
        <v>18493.500390000001</v>
      </c>
      <c r="K624" s="38"/>
      <c r="L624" s="267"/>
      <c r="M624" s="268"/>
      <c r="N624" s="269"/>
      <c r="O624" s="269"/>
      <c r="P624" s="283"/>
      <c r="Q624" s="269"/>
      <c r="R624" s="269"/>
      <c r="S624" s="38"/>
      <c r="T624" s="38"/>
      <c r="U624" s="38"/>
      <c r="V624" s="38"/>
      <c r="W624" s="38"/>
      <c r="X624" s="38"/>
      <c r="Y624" s="38"/>
      <c r="Z624" s="38"/>
      <c r="AA624" s="38"/>
    </row>
    <row r="625" spans="1:27" ht="15.75" thickBot="1" x14ac:dyDescent="0.3">
      <c r="A625" s="50">
        <f t="shared" si="62"/>
        <v>621</v>
      </c>
      <c r="B625" s="134"/>
      <c r="C625" s="52" t="str">
        <f t="shared" si="60"/>
        <v>2U_U05</v>
      </c>
      <c r="D625" s="135"/>
      <c r="E625" s="139">
        <f>+'CALCULO TARIFAS CC '!$Q$45</f>
        <v>1.4128083020629791</v>
      </c>
      <c r="F625" s="140">
        <f t="shared" si="61"/>
        <v>912.51840000000004</v>
      </c>
      <c r="G625" s="141">
        <f>+ROUND(F625*E625,2)</f>
        <v>1289.21</v>
      </c>
      <c r="H625" s="49" t="s">
        <v>292</v>
      </c>
      <c r="I625" s="27" t="s">
        <v>177</v>
      </c>
      <c r="J625" s="27">
        <v>912.51840000000004</v>
      </c>
      <c r="K625" s="38"/>
      <c r="L625" s="267"/>
      <c r="M625" s="381"/>
      <c r="N625" s="269"/>
      <c r="O625" s="269"/>
      <c r="P625" s="283"/>
      <c r="Q625" s="269"/>
      <c r="R625" s="269"/>
      <c r="S625" s="38"/>
      <c r="T625" s="38"/>
      <c r="U625" s="38"/>
      <c r="V625" s="38"/>
      <c r="W625" s="38"/>
      <c r="X625" s="38"/>
      <c r="Y625" s="38"/>
      <c r="Z625" s="38"/>
      <c r="AA625" s="38"/>
    </row>
    <row r="626" spans="1:27" ht="12.75" customHeight="1" thickBot="1" x14ac:dyDescent="0.3">
      <c r="A626" s="95"/>
      <c r="B626" s="96"/>
      <c r="C626" s="97" t="s">
        <v>305</v>
      </c>
      <c r="D626" s="97"/>
      <c r="E626" s="97"/>
      <c r="F626" s="99">
        <f>ROUND(SUM(F583:F625),4)</f>
        <v>441737.48060000001</v>
      </c>
      <c r="G626" s="101">
        <f>SUM(G583:G625)</f>
        <v>624090.3600000001</v>
      </c>
      <c r="H626" s="37"/>
      <c r="I626" s="38"/>
      <c r="J626" s="38"/>
      <c r="K626" s="38"/>
      <c r="O626" s="269"/>
      <c r="P626" s="269"/>
      <c r="Q626" s="269"/>
      <c r="R626" s="269"/>
      <c r="S626" s="38"/>
      <c r="T626" s="38"/>
      <c r="U626" s="38"/>
      <c r="V626" s="38"/>
      <c r="W626" s="38"/>
      <c r="X626" s="38"/>
      <c r="Y626" s="38"/>
      <c r="Z626" s="38"/>
    </row>
    <row r="627" spans="1:27" ht="12.75" customHeight="1" x14ac:dyDescent="0.25">
      <c r="A627" s="43">
        <f>A625+1</f>
        <v>622</v>
      </c>
      <c r="B627" s="44" t="s">
        <v>10</v>
      </c>
      <c r="C627" s="45" t="str">
        <f t="shared" ref="C627:C658" si="67">I627</f>
        <v>1CCOMCCELC</v>
      </c>
      <c r="D627" s="45"/>
      <c r="E627" s="46">
        <f>+'CALCULO TARIFAS CC '!$P$45</f>
        <v>0.73353343296286577</v>
      </c>
      <c r="F627" s="155">
        <f t="shared" ref="F627:F690" si="68">J627</f>
        <v>4.5717866803524441E-3</v>
      </c>
      <c r="G627" s="157">
        <f t="shared" ref="G627:G643" si="69">+ROUND(E627*F627*$F$747,2)</f>
        <v>2732.5</v>
      </c>
      <c r="H627" s="37" t="s">
        <v>288</v>
      </c>
      <c r="I627" s="308" t="s">
        <v>178</v>
      </c>
      <c r="J627" s="309">
        <v>4.5717866803524441E-3</v>
      </c>
      <c r="K627" s="27"/>
      <c r="L627" s="267"/>
      <c r="M627" s="308"/>
      <c r="N627" s="309"/>
      <c r="O627" s="269"/>
      <c r="P627" s="269"/>
      <c r="Q627" s="269"/>
      <c r="R627" s="269"/>
      <c r="S627" s="38"/>
      <c r="T627" s="38"/>
      <c r="U627" s="38"/>
      <c r="V627" s="38"/>
      <c r="W627" s="38"/>
      <c r="X627" s="38"/>
      <c r="Y627" s="38"/>
      <c r="Z627" s="38"/>
      <c r="AA627" s="210"/>
    </row>
    <row r="628" spans="1:27" ht="12.75" customHeight="1" x14ac:dyDescent="0.25">
      <c r="A628" s="50">
        <f t="shared" ref="A628:A734" si="70">+A627+1</f>
        <v>623</v>
      </c>
      <c r="B628" s="51"/>
      <c r="C628" s="52" t="str">
        <f t="shared" si="67"/>
        <v>1CCOMCECEE</v>
      </c>
      <c r="D628" s="52"/>
      <c r="E628" s="53">
        <f>+'CALCULO TARIFAS CC '!$P$45</f>
        <v>0.73353343296286577</v>
      </c>
      <c r="F628" s="161">
        <f t="shared" si="68"/>
        <v>1.3043185342800433E-2</v>
      </c>
      <c r="G628" s="163">
        <f t="shared" si="69"/>
        <v>7795.75</v>
      </c>
      <c r="H628" s="37" t="s">
        <v>288</v>
      </c>
      <c r="I628" s="308" t="s">
        <v>179</v>
      </c>
      <c r="J628" s="309">
        <v>1.3043185342800433E-2</v>
      </c>
      <c r="K628" s="27"/>
      <c r="L628" s="267"/>
      <c r="M628" s="308"/>
      <c r="N628" s="309"/>
      <c r="O628" s="269"/>
      <c r="P628" s="269"/>
      <c r="Q628" s="269"/>
      <c r="R628" s="269"/>
      <c r="S628" s="38"/>
      <c r="T628" s="38"/>
      <c r="U628" s="38"/>
      <c r="V628" s="38"/>
      <c r="W628" s="38"/>
      <c r="X628" s="38"/>
      <c r="Y628" s="38"/>
      <c r="Z628" s="38"/>
      <c r="AA628" s="210"/>
    </row>
    <row r="629" spans="1:27" ht="12.75" customHeight="1" x14ac:dyDescent="0.25">
      <c r="A629" s="50">
        <f t="shared" si="70"/>
        <v>624</v>
      </c>
      <c r="B629" s="51"/>
      <c r="C629" s="52" t="str">
        <f t="shared" si="67"/>
        <v>1CCOMCOELC</v>
      </c>
      <c r="D629" s="52"/>
      <c r="E629" s="53">
        <f>+'CALCULO TARIFAS CC '!$P$45</f>
        <v>0.73353343296286577</v>
      </c>
      <c r="F629" s="161">
        <f t="shared" si="68"/>
        <v>1.3523931047269729E-2</v>
      </c>
      <c r="G629" s="163">
        <f t="shared" si="69"/>
        <v>8083.08</v>
      </c>
      <c r="H629" s="37" t="s">
        <v>288</v>
      </c>
      <c r="I629" s="308" t="s">
        <v>180</v>
      </c>
      <c r="J629" s="309">
        <v>1.3523931047269729E-2</v>
      </c>
      <c r="K629" s="27"/>
      <c r="L629" s="267"/>
      <c r="M629" s="308"/>
      <c r="N629" s="309"/>
      <c r="O629" s="269"/>
      <c r="P629" s="269"/>
      <c r="Q629" s="269"/>
      <c r="R629" s="269"/>
      <c r="S629" s="38"/>
      <c r="T629" s="38"/>
      <c r="U629" s="38"/>
      <c r="V629" s="38"/>
      <c r="W629" s="38"/>
      <c r="X629" s="38"/>
      <c r="Y629" s="38"/>
      <c r="Z629" s="38"/>
      <c r="AA629" s="210"/>
    </row>
    <row r="630" spans="1:27" ht="12.75" customHeight="1" x14ac:dyDescent="0.25">
      <c r="A630" s="50">
        <f t="shared" si="70"/>
        <v>625</v>
      </c>
      <c r="B630" s="51"/>
      <c r="C630" s="52" t="str">
        <f t="shared" si="67"/>
        <v>1CCOMCOELG</v>
      </c>
      <c r="D630" s="52"/>
      <c r="E630" s="53">
        <f>+'CALCULO TARIFAS CC '!$P$45</f>
        <v>0.73353343296286577</v>
      </c>
      <c r="F630" s="161">
        <f t="shared" si="68"/>
        <v>6.3125205552583497E-2</v>
      </c>
      <c r="G630" s="163">
        <f t="shared" si="69"/>
        <v>37729.129999999997</v>
      </c>
      <c r="H630" s="37" t="s">
        <v>288</v>
      </c>
      <c r="I630" s="308" t="s">
        <v>181</v>
      </c>
      <c r="J630" s="309">
        <v>6.3125205552583497E-2</v>
      </c>
      <c r="K630" s="27"/>
      <c r="L630" s="267"/>
      <c r="M630" s="308"/>
      <c r="N630" s="309"/>
      <c r="O630" s="269"/>
      <c r="P630" s="269"/>
      <c r="Q630" s="269"/>
      <c r="R630" s="269"/>
      <c r="S630" s="38"/>
      <c r="T630" s="38"/>
      <c r="U630" s="38"/>
      <c r="V630" s="38"/>
      <c r="W630" s="38"/>
      <c r="X630" s="38"/>
      <c r="Y630" s="38"/>
      <c r="Z630" s="38"/>
      <c r="AA630" s="210"/>
    </row>
    <row r="631" spans="1:27" ht="12.75" customHeight="1" x14ac:dyDescent="0.25">
      <c r="A631" s="50">
        <f t="shared" si="70"/>
        <v>626</v>
      </c>
      <c r="B631" s="51"/>
      <c r="C631" s="52" t="str">
        <f t="shared" si="67"/>
        <v>1CCOMCOELP</v>
      </c>
      <c r="D631" s="52"/>
      <c r="E631" s="53">
        <f>+'CALCULO TARIFAS CC '!$P$45</f>
        <v>0.73353343296286577</v>
      </c>
      <c r="F631" s="161">
        <f t="shared" si="68"/>
        <v>5.3186059601269186E-3</v>
      </c>
      <c r="G631" s="163">
        <f t="shared" si="69"/>
        <v>3178.86</v>
      </c>
      <c r="H631" s="37" t="s">
        <v>288</v>
      </c>
      <c r="I631" s="308" t="s">
        <v>182</v>
      </c>
      <c r="J631" s="309">
        <v>5.3186059601269186E-3</v>
      </c>
      <c r="K631" s="27"/>
      <c r="L631" s="267"/>
      <c r="M631" s="308"/>
      <c r="N631" s="309"/>
      <c r="O631" s="269"/>
      <c r="P631" s="269"/>
      <c r="Q631" s="269"/>
      <c r="R631" s="269"/>
      <c r="S631" s="38"/>
      <c r="T631" s="38"/>
      <c r="U631" s="38"/>
      <c r="V631" s="38"/>
      <c r="W631" s="38"/>
      <c r="X631" s="38"/>
      <c r="Y631" s="38"/>
      <c r="Z631" s="38"/>
      <c r="AA631" s="210"/>
    </row>
    <row r="632" spans="1:27" ht="12.75" customHeight="1" x14ac:dyDescent="0.25">
      <c r="A632" s="50">
        <f t="shared" si="70"/>
        <v>627</v>
      </c>
      <c r="B632" s="51"/>
      <c r="C632" s="52" t="str">
        <f t="shared" si="67"/>
        <v>1CCOMCOELU</v>
      </c>
      <c r="D632" s="52"/>
      <c r="E632" s="53">
        <f>+'CALCULO TARIFAS CC '!$P$45</f>
        <v>0.73353343296286577</v>
      </c>
      <c r="F632" s="161">
        <f t="shared" si="68"/>
        <v>1.4537548606506813E-2</v>
      </c>
      <c r="G632" s="163">
        <f t="shared" si="69"/>
        <v>8688.91</v>
      </c>
      <c r="H632" s="37" t="s">
        <v>288</v>
      </c>
      <c r="I632" s="308" t="s">
        <v>183</v>
      </c>
      <c r="J632" s="309">
        <v>1.4537548606506813E-2</v>
      </c>
      <c r="K632" s="27"/>
      <c r="L632" s="267"/>
      <c r="M632" s="308"/>
      <c r="N632" s="309"/>
      <c r="O632" s="269"/>
      <c r="P632" s="269"/>
      <c r="Q632" s="269"/>
      <c r="R632" s="269"/>
      <c r="S632" s="38"/>
      <c r="T632" s="38"/>
      <c r="U632" s="38"/>
      <c r="V632" s="38"/>
      <c r="W632" s="38"/>
      <c r="X632" s="38"/>
      <c r="Y632" s="38"/>
      <c r="Z632" s="38"/>
      <c r="AA632" s="210"/>
    </row>
    <row r="633" spans="1:27" ht="12.75" customHeight="1" x14ac:dyDescent="0.25">
      <c r="A633" s="50">
        <f t="shared" si="70"/>
        <v>628</v>
      </c>
      <c r="B633" s="51"/>
      <c r="C633" s="52" t="str">
        <f t="shared" si="67"/>
        <v>1CCOMCOEND</v>
      </c>
      <c r="D633" s="52"/>
      <c r="E633" s="53">
        <f>+'CALCULO TARIFAS CC '!$P$45</f>
        <v>0.73353343296286577</v>
      </c>
      <c r="F633" s="161">
        <f t="shared" si="68"/>
        <v>9.6682917084461376E-3</v>
      </c>
      <c r="G633" s="163">
        <f t="shared" si="69"/>
        <v>5778.61</v>
      </c>
      <c r="H633" s="37" t="s">
        <v>288</v>
      </c>
      <c r="I633" s="308" t="s">
        <v>184</v>
      </c>
      <c r="J633" s="309">
        <v>9.6682917084461376E-3</v>
      </c>
      <c r="K633" s="27"/>
      <c r="L633" s="267"/>
      <c r="M633" s="308"/>
      <c r="N633" s="309"/>
      <c r="O633" s="269"/>
      <c r="P633" s="269"/>
      <c r="Q633" s="269"/>
      <c r="R633" s="269"/>
      <c r="S633" s="38"/>
      <c r="T633" s="38"/>
      <c r="U633" s="38"/>
      <c r="V633" s="38"/>
      <c r="W633" s="38"/>
      <c r="X633" s="38"/>
      <c r="Y633" s="38"/>
      <c r="Z633" s="38"/>
      <c r="AA633" s="210"/>
    </row>
    <row r="634" spans="1:27" ht="12.75" customHeight="1" x14ac:dyDescent="0.25">
      <c r="A634" s="50">
        <f t="shared" si="70"/>
        <v>629</v>
      </c>
      <c r="B634" s="51"/>
      <c r="C634" s="52" t="str">
        <f t="shared" si="67"/>
        <v>1CCOMCOESD</v>
      </c>
      <c r="D634" s="52"/>
      <c r="E634" s="53">
        <f>+'CALCULO TARIFAS CC '!$P$45</f>
        <v>0.73353343296286577</v>
      </c>
      <c r="F634" s="161">
        <f t="shared" si="68"/>
        <v>2.2696607593016466E-2</v>
      </c>
      <c r="G634" s="163">
        <f t="shared" si="69"/>
        <v>13565.47</v>
      </c>
      <c r="H634" s="37" t="s">
        <v>288</v>
      </c>
      <c r="I634" s="308" t="s">
        <v>185</v>
      </c>
      <c r="J634" s="309">
        <v>2.2696607593016466E-2</v>
      </c>
      <c r="K634" s="27"/>
      <c r="L634" s="267"/>
      <c r="M634" s="308"/>
      <c r="N634" s="309"/>
      <c r="O634" s="269"/>
      <c r="P634" s="269"/>
      <c r="Q634" s="269"/>
      <c r="R634" s="269"/>
      <c r="S634" s="38"/>
      <c r="T634" s="38"/>
      <c r="U634" s="38"/>
      <c r="V634" s="38"/>
      <c r="W634" s="38"/>
      <c r="X634" s="38"/>
      <c r="Y634" s="38"/>
      <c r="Z634" s="38"/>
      <c r="AA634" s="210"/>
    </row>
    <row r="635" spans="1:27" ht="12.75" customHeight="1" x14ac:dyDescent="0.25">
      <c r="A635" s="50">
        <f t="shared" si="70"/>
        <v>630</v>
      </c>
      <c r="B635" s="51"/>
      <c r="C635" s="52" t="str">
        <f t="shared" si="67"/>
        <v>1CCOMCOGUE</v>
      </c>
      <c r="D635" s="52"/>
      <c r="E635" s="53">
        <f>+'CALCULO TARIFAS CC '!$P$45</f>
        <v>0.73353343296286577</v>
      </c>
      <c r="F635" s="161">
        <f t="shared" si="68"/>
        <v>6.3874959156056859E-3</v>
      </c>
      <c r="G635" s="163">
        <f t="shared" si="69"/>
        <v>3817.72</v>
      </c>
      <c r="H635" s="37" t="s">
        <v>288</v>
      </c>
      <c r="I635" s="308" t="s">
        <v>186</v>
      </c>
      <c r="J635" s="309">
        <v>6.3874959156056859E-3</v>
      </c>
      <c r="K635" s="27"/>
      <c r="L635" s="267"/>
      <c r="M635" s="308"/>
      <c r="N635" s="309"/>
      <c r="O635" s="269"/>
      <c r="P635" s="269"/>
      <c r="Q635" s="269"/>
      <c r="R635" s="269"/>
      <c r="S635" s="38"/>
      <c r="T635" s="38"/>
      <c r="U635" s="38"/>
      <c r="V635" s="38"/>
      <c r="W635" s="38"/>
      <c r="X635" s="38"/>
      <c r="Y635" s="38"/>
      <c r="Z635" s="38"/>
      <c r="AA635" s="210"/>
    </row>
    <row r="636" spans="1:27" ht="12.75" customHeight="1" x14ac:dyDescent="0.25">
      <c r="A636" s="50">
        <f t="shared" si="70"/>
        <v>631</v>
      </c>
      <c r="B636" s="51"/>
      <c r="C636" s="52" t="str">
        <f t="shared" si="67"/>
        <v>1CCOMCOMEL</v>
      </c>
      <c r="D636" s="52"/>
      <c r="E636" s="53">
        <f>+'CALCULO TARIFAS CC '!$P$45</f>
        <v>0.73353343296286577</v>
      </c>
      <c r="F636" s="161">
        <f t="shared" si="68"/>
        <v>2.8284543386731874E-2</v>
      </c>
      <c r="G636" s="163">
        <f t="shared" si="69"/>
        <v>16905.310000000001</v>
      </c>
      <c r="H636" s="37" t="s">
        <v>288</v>
      </c>
      <c r="I636" s="308" t="s">
        <v>187</v>
      </c>
      <c r="J636" s="309">
        <v>2.8284543386731874E-2</v>
      </c>
      <c r="K636" s="27"/>
      <c r="L636" s="267"/>
      <c r="M636" s="308"/>
      <c r="N636" s="309"/>
      <c r="O636" s="269"/>
      <c r="P636" s="269"/>
      <c r="Q636" s="269"/>
      <c r="R636" s="269"/>
      <c r="S636" s="38"/>
      <c r="T636" s="38"/>
      <c r="U636" s="38"/>
      <c r="V636" s="38"/>
      <c r="W636" s="38"/>
      <c r="X636" s="38"/>
      <c r="Y636" s="38"/>
      <c r="Z636" s="38"/>
      <c r="AA636" s="210"/>
    </row>
    <row r="637" spans="1:27" ht="12.75" customHeight="1" x14ac:dyDescent="0.25">
      <c r="A637" s="50">
        <f t="shared" si="70"/>
        <v>632</v>
      </c>
      <c r="B637" s="51"/>
      <c r="C637" s="52" t="str">
        <f t="shared" si="67"/>
        <v>1CCOMCUCOE</v>
      </c>
      <c r="D637" s="52"/>
      <c r="E637" s="53">
        <f>+'CALCULO TARIFAS CC '!$P$45</f>
        <v>0.73353343296286577</v>
      </c>
      <c r="F637" s="161">
        <f t="shared" si="68"/>
        <v>5.6113451987376984E-3</v>
      </c>
      <c r="G637" s="163">
        <f t="shared" si="69"/>
        <v>3353.83</v>
      </c>
      <c r="H637" s="37" t="s">
        <v>288</v>
      </c>
      <c r="I637" s="308" t="s">
        <v>188</v>
      </c>
      <c r="J637" s="309">
        <v>5.6113451987376984E-3</v>
      </c>
      <c r="K637" s="27"/>
      <c r="L637" s="267"/>
      <c r="M637" s="308"/>
      <c r="N637" s="309"/>
      <c r="O637" s="269"/>
      <c r="P637" s="269"/>
      <c r="Q637" s="269"/>
      <c r="R637" s="269"/>
      <c r="S637" s="38"/>
      <c r="T637" s="38"/>
      <c r="U637" s="38"/>
      <c r="V637" s="38"/>
      <c r="W637" s="38"/>
      <c r="X637" s="38"/>
      <c r="Y637" s="38"/>
      <c r="Z637" s="38"/>
      <c r="AA637" s="210"/>
    </row>
    <row r="638" spans="1:27" ht="12.75" customHeight="1" x14ac:dyDescent="0.25">
      <c r="A638" s="50">
        <f t="shared" si="70"/>
        <v>633</v>
      </c>
      <c r="B638" s="51"/>
      <c r="C638" s="52" t="str">
        <f t="shared" si="67"/>
        <v>1CCOMECONO</v>
      </c>
      <c r="D638" s="52"/>
      <c r="E638" s="53">
        <f>+'CALCULO TARIFAS CC '!$P$45</f>
        <v>0.73353343296286577</v>
      </c>
      <c r="F638" s="161">
        <f t="shared" si="68"/>
        <v>5.395340097684111E-3</v>
      </c>
      <c r="G638" s="163">
        <f t="shared" si="69"/>
        <v>3224.73</v>
      </c>
      <c r="H638" s="37" t="s">
        <v>288</v>
      </c>
      <c r="I638" s="308" t="s">
        <v>189</v>
      </c>
      <c r="J638" s="309">
        <v>5.395340097684111E-3</v>
      </c>
      <c r="K638" s="27"/>
      <c r="L638" s="267"/>
      <c r="M638" s="308"/>
      <c r="N638" s="309"/>
      <c r="O638" s="269"/>
      <c r="P638" s="269"/>
      <c r="Q638" s="269"/>
      <c r="R638" s="269"/>
      <c r="S638" s="38"/>
      <c r="T638" s="38"/>
      <c r="U638" s="38"/>
      <c r="V638" s="38"/>
      <c r="W638" s="38"/>
      <c r="X638" s="38"/>
      <c r="Y638" s="38"/>
      <c r="Z638" s="38"/>
      <c r="AA638" s="210"/>
    </row>
    <row r="639" spans="1:27" ht="12.75" customHeight="1" x14ac:dyDescent="0.25">
      <c r="A639" s="50">
        <f t="shared" si="70"/>
        <v>634</v>
      </c>
      <c r="B639" s="51"/>
      <c r="C639" s="52" t="str">
        <f t="shared" si="67"/>
        <v>1CCOMINVNA</v>
      </c>
      <c r="D639" s="52"/>
      <c r="E639" s="53">
        <f>+'CALCULO TARIFAS CC '!$P$45</f>
        <v>0.73353343296286577</v>
      </c>
      <c r="F639" s="161">
        <f t="shared" si="68"/>
        <v>6.9042611536378058E-6</v>
      </c>
      <c r="G639" s="163">
        <f t="shared" si="69"/>
        <v>4.13</v>
      </c>
      <c r="H639" s="37" t="s">
        <v>288</v>
      </c>
      <c r="I639" s="308" t="s">
        <v>359</v>
      </c>
      <c r="J639" s="309">
        <v>6.9042611536378058E-6</v>
      </c>
      <c r="K639" s="27"/>
      <c r="L639" s="267"/>
      <c r="M639" s="308"/>
      <c r="N639" s="309"/>
      <c r="O639" s="269"/>
      <c r="P639" s="269"/>
      <c r="Q639" s="269"/>
      <c r="R639" s="269"/>
      <c r="S639" s="38"/>
      <c r="T639" s="38"/>
      <c r="U639" s="38"/>
      <c r="V639" s="38"/>
      <c r="W639" s="38"/>
      <c r="X639" s="38"/>
      <c r="Y639" s="38"/>
      <c r="Z639" s="38"/>
      <c r="AA639" s="210"/>
    </row>
    <row r="640" spans="1:27" ht="12.75" customHeight="1" x14ac:dyDescent="0.25">
      <c r="A640" s="50">
        <f t="shared" si="70"/>
        <v>635</v>
      </c>
      <c r="B640" s="51"/>
      <c r="C640" s="52" t="str">
        <f t="shared" si="67"/>
        <v>1CCOMIONEN</v>
      </c>
      <c r="D640" s="52"/>
      <c r="E640" s="53">
        <f>+'CALCULO TARIFAS CC '!$P$45</f>
        <v>0.73353343296286577</v>
      </c>
      <c r="F640" s="161">
        <f t="shared" si="68"/>
        <v>3.60944734218702E-2</v>
      </c>
      <c r="G640" s="163">
        <f t="shared" si="69"/>
        <v>21573.21</v>
      </c>
      <c r="H640" s="37" t="s">
        <v>288</v>
      </c>
      <c r="I640" s="308" t="s">
        <v>190</v>
      </c>
      <c r="J640" s="309">
        <v>3.60944734218702E-2</v>
      </c>
      <c r="K640" s="27"/>
      <c r="L640" s="267"/>
      <c r="M640" s="308"/>
      <c r="N640" s="309"/>
      <c r="O640" s="269"/>
      <c r="P640" s="269"/>
      <c r="Q640" s="269"/>
      <c r="R640" s="269"/>
      <c r="S640" s="38"/>
      <c r="T640" s="38"/>
      <c r="U640" s="38"/>
      <c r="V640" s="38"/>
      <c r="W640" s="38"/>
      <c r="X640" s="38"/>
      <c r="Y640" s="38"/>
      <c r="Z640" s="38"/>
      <c r="AA640" s="210"/>
    </row>
    <row r="641" spans="1:27" ht="12.75" customHeight="1" x14ac:dyDescent="0.25">
      <c r="A641" s="50">
        <f t="shared" si="70"/>
        <v>636</v>
      </c>
      <c r="B641" s="51"/>
      <c r="C641" s="52" t="str">
        <f t="shared" si="67"/>
        <v>1CCOMMAYEL</v>
      </c>
      <c r="D641" s="52"/>
      <c r="E641" s="53">
        <f>+'CALCULO TARIFAS CC '!$P$45</f>
        <v>0.73353343296286577</v>
      </c>
      <c r="F641" s="161">
        <f t="shared" si="68"/>
        <v>9.0779596401494682E-3</v>
      </c>
      <c r="G641" s="163">
        <f t="shared" si="69"/>
        <v>5425.78</v>
      </c>
      <c r="H641" s="37" t="s">
        <v>288</v>
      </c>
      <c r="I641" s="308" t="s">
        <v>191</v>
      </c>
      <c r="J641" s="309">
        <v>9.0779596401494682E-3</v>
      </c>
      <c r="K641" s="27"/>
      <c r="L641" s="267"/>
      <c r="M641" s="308"/>
      <c r="N641" s="309"/>
      <c r="O641" s="269"/>
      <c r="P641" s="269"/>
      <c r="Q641" s="269"/>
      <c r="R641" s="269"/>
      <c r="S641" s="38"/>
      <c r="T641" s="38"/>
      <c r="U641" s="38"/>
      <c r="V641" s="38"/>
      <c r="W641" s="38"/>
      <c r="X641" s="38"/>
      <c r="Y641" s="38"/>
      <c r="Z641" s="38"/>
      <c r="AA641" s="210"/>
    </row>
    <row r="642" spans="1:27" ht="12.75" customHeight="1" x14ac:dyDescent="0.25">
      <c r="A642" s="50">
        <f t="shared" si="70"/>
        <v>637</v>
      </c>
      <c r="B642" s="51"/>
      <c r="C642" s="52" t="str">
        <f t="shared" si="67"/>
        <v>1CCOMRECGE</v>
      </c>
      <c r="D642" s="52"/>
      <c r="E642" s="53">
        <f>+'CALCULO TARIFAS CC '!$P$45</f>
        <v>0.73353343296286577</v>
      </c>
      <c r="F642" s="161">
        <f t="shared" si="68"/>
        <v>1.0622127271368404E-2</v>
      </c>
      <c r="G642" s="163">
        <f t="shared" si="69"/>
        <v>6348.71</v>
      </c>
      <c r="H642" s="37" t="s">
        <v>288</v>
      </c>
      <c r="I642" s="308" t="s">
        <v>192</v>
      </c>
      <c r="J642" s="309">
        <v>1.0622127271368404E-2</v>
      </c>
      <c r="K642" s="27"/>
      <c r="L642" s="267"/>
      <c r="M642" s="308"/>
      <c r="N642" s="309"/>
      <c r="O642" s="269"/>
      <c r="P642" s="269"/>
      <c r="Q642" s="269"/>
      <c r="R642" s="269"/>
      <c r="S642" s="38"/>
      <c r="T642" s="38"/>
      <c r="U642" s="38"/>
      <c r="V642" s="38"/>
      <c r="W642" s="38"/>
      <c r="X642" s="38"/>
      <c r="Y642" s="38"/>
      <c r="Z642" s="38"/>
      <c r="AA642" s="210"/>
    </row>
    <row r="643" spans="1:27" ht="12.75" customHeight="1" x14ac:dyDescent="0.25">
      <c r="A643" s="50">
        <f t="shared" si="70"/>
        <v>638</v>
      </c>
      <c r="B643" s="51"/>
      <c r="C643" s="52" t="str">
        <f t="shared" si="67"/>
        <v>1CCOMSOLGU</v>
      </c>
      <c r="D643" s="52"/>
      <c r="E643" s="53">
        <f>+'CALCULO TARIFAS CC '!$P$45</f>
        <v>0.73353343296286577</v>
      </c>
      <c r="F643" s="161">
        <f t="shared" si="68"/>
        <v>4.5264511135918667E-3</v>
      </c>
      <c r="G643" s="163">
        <f t="shared" si="69"/>
        <v>2705.4</v>
      </c>
      <c r="H643" s="37" t="s">
        <v>288</v>
      </c>
      <c r="I643" s="308" t="s">
        <v>193</v>
      </c>
      <c r="J643" s="309">
        <v>4.5264511135918667E-3</v>
      </c>
      <c r="K643" s="27"/>
      <c r="L643" s="267"/>
      <c r="M643" s="308"/>
      <c r="N643" s="309"/>
      <c r="O643" s="269"/>
      <c r="P643" s="269"/>
      <c r="Q643" s="269"/>
      <c r="R643" s="269"/>
      <c r="S643" s="38"/>
      <c r="T643" s="38"/>
      <c r="U643" s="38"/>
      <c r="V643" s="38"/>
      <c r="W643" s="38"/>
      <c r="X643" s="38"/>
      <c r="Y643" s="38"/>
      <c r="Z643" s="38"/>
      <c r="AA643" s="210"/>
    </row>
    <row r="644" spans="1:27" ht="12.75" customHeight="1" x14ac:dyDescent="0.25">
      <c r="A644" s="50">
        <f t="shared" si="70"/>
        <v>639</v>
      </c>
      <c r="B644" s="51"/>
      <c r="C644" s="52" t="str">
        <f t="shared" si="67"/>
        <v>1DDISDIELO</v>
      </c>
      <c r="D644" s="52"/>
      <c r="E644" s="53">
        <f>+'CALCULO TARIFAS CC '!$P$45</f>
        <v>0.73353343296286577</v>
      </c>
      <c r="F644" s="161">
        <f t="shared" si="68"/>
        <v>0.16688262686227284</v>
      </c>
      <c r="G644" s="163">
        <f>+ROUND(E644*F644*$F$747,2)-0.01</f>
        <v>99743.61</v>
      </c>
      <c r="H644" s="37" t="s">
        <v>288</v>
      </c>
      <c r="I644" s="308" t="s">
        <v>194</v>
      </c>
      <c r="J644" s="309">
        <v>0.16688262686227284</v>
      </c>
      <c r="K644" s="27"/>
      <c r="L644" s="267"/>
      <c r="M644" s="308"/>
      <c r="N644" s="309"/>
      <c r="O644" s="269"/>
      <c r="P644" s="269"/>
      <c r="Q644" s="269"/>
      <c r="R644" s="269"/>
      <c r="S644" s="38"/>
      <c r="T644" s="38"/>
      <c r="U644" s="38"/>
      <c r="V644" s="38"/>
      <c r="W644" s="38"/>
      <c r="X644" s="38"/>
      <c r="Y644" s="38"/>
      <c r="Z644" s="38"/>
      <c r="AA644" s="210"/>
    </row>
    <row r="645" spans="1:27" ht="12.75" customHeight="1" x14ac:dyDescent="0.25">
      <c r="A645" s="50">
        <f t="shared" si="70"/>
        <v>640</v>
      </c>
      <c r="B645" s="51"/>
      <c r="C645" s="52" t="str">
        <f t="shared" si="67"/>
        <v>1DDISDISEL</v>
      </c>
      <c r="D645" s="52"/>
      <c r="E645" s="53">
        <f>+'CALCULO TARIFAS CC '!$P$45</f>
        <v>0.73353343296286577</v>
      </c>
      <c r="F645" s="161">
        <f t="shared" si="68"/>
        <v>0.14483708980300183</v>
      </c>
      <c r="G645" s="163">
        <f>+ROUND(E645*F645*$F$747,2)-0.01</f>
        <v>86567.27</v>
      </c>
      <c r="H645" s="37" t="s">
        <v>288</v>
      </c>
      <c r="I645" s="308" t="s">
        <v>195</v>
      </c>
      <c r="J645" s="309">
        <v>0.14483708980300183</v>
      </c>
      <c r="K645" s="27"/>
      <c r="L645" s="267"/>
      <c r="M645" s="308"/>
      <c r="N645" s="309"/>
      <c r="O645" s="269"/>
      <c r="P645" s="269"/>
      <c r="Q645" s="269"/>
      <c r="R645" s="269"/>
      <c r="S645" s="38"/>
      <c r="T645" s="38"/>
      <c r="U645" s="38"/>
      <c r="V645" s="38"/>
      <c r="W645" s="38"/>
      <c r="X645" s="38"/>
      <c r="Y645" s="38"/>
      <c r="Z645" s="38"/>
      <c r="AA645" s="210"/>
    </row>
    <row r="646" spans="1:27" ht="12.75" customHeight="1" x14ac:dyDescent="0.25">
      <c r="A646" s="50">
        <f t="shared" si="70"/>
        <v>641</v>
      </c>
      <c r="B646" s="51"/>
      <c r="C646" s="52" t="str">
        <f t="shared" si="67"/>
        <v>1DDISEMPEL</v>
      </c>
      <c r="D646" s="52"/>
      <c r="E646" s="53">
        <f>+'CALCULO TARIFAS CC '!$P$45</f>
        <v>0.73353343296286577</v>
      </c>
      <c r="F646" s="161">
        <f t="shared" si="68"/>
        <v>0.34796397224190995</v>
      </c>
      <c r="G646" s="163">
        <f>+ROUND(E646*F646*$F$747,2)-0.02</f>
        <v>207973.61000000002</v>
      </c>
      <c r="H646" s="37" t="s">
        <v>288</v>
      </c>
      <c r="I646" s="308" t="s">
        <v>196</v>
      </c>
      <c r="J646" s="309">
        <v>0.34796397224190995</v>
      </c>
      <c r="K646" s="27"/>
      <c r="L646" s="267"/>
      <c r="M646" s="308"/>
      <c r="N646" s="309"/>
      <c r="O646" s="269"/>
      <c r="P646" s="269"/>
      <c r="Q646" s="269"/>
      <c r="R646" s="269"/>
      <c r="S646" s="38"/>
      <c r="T646" s="38"/>
      <c r="U646" s="38"/>
      <c r="V646" s="38"/>
      <c r="W646" s="38"/>
      <c r="X646" s="38"/>
      <c r="Y646" s="38"/>
      <c r="Z646" s="38"/>
      <c r="AA646" s="210"/>
    </row>
    <row r="647" spans="1:27" ht="12.75" customHeight="1" x14ac:dyDescent="0.25">
      <c r="A647" s="213">
        <f t="shared" si="70"/>
        <v>642</v>
      </c>
      <c r="B647" s="51"/>
      <c r="C647" s="214" t="str">
        <f t="shared" si="67"/>
        <v>1DDISEMREP</v>
      </c>
      <c r="D647" s="214"/>
      <c r="E647" s="215">
        <f>+'CALCULO TARIFAS CC '!$P$45</f>
        <v>0.73353343296286577</v>
      </c>
      <c r="F647" s="216">
        <f t="shared" si="68"/>
        <v>8.9035311984129138E-4</v>
      </c>
      <c r="G647" s="217">
        <f t="shared" ref="G647:G678" si="71">+ROUND(E647*F647*$F$747,2)</f>
        <v>532.15</v>
      </c>
      <c r="H647" s="37" t="s">
        <v>288</v>
      </c>
      <c r="I647" s="369" t="s">
        <v>197</v>
      </c>
      <c r="J647" s="309">
        <v>8.9035311984129138E-4</v>
      </c>
      <c r="K647" s="27"/>
      <c r="L647" s="267"/>
      <c r="M647" s="308"/>
      <c r="N647" s="309"/>
      <c r="O647" s="269"/>
      <c r="P647" s="269"/>
      <c r="Q647" s="269"/>
      <c r="R647" s="269"/>
      <c r="S647" s="38"/>
      <c r="T647" s="38"/>
      <c r="U647" s="38"/>
      <c r="V647" s="38"/>
      <c r="W647" s="38"/>
      <c r="X647" s="38"/>
      <c r="Y647" s="38"/>
      <c r="Z647" s="38"/>
      <c r="AA647" s="210"/>
    </row>
    <row r="648" spans="1:27" ht="12.75" customHeight="1" x14ac:dyDescent="0.25">
      <c r="A648" s="50">
        <f t="shared" si="70"/>
        <v>643</v>
      </c>
      <c r="B648" s="51"/>
      <c r="C648" s="52" t="str">
        <f t="shared" si="67"/>
        <v>1GGDRAGAAC</v>
      </c>
      <c r="D648" s="52"/>
      <c r="E648" s="53">
        <f>+'CALCULO TARIFAS CC '!$P$45</f>
        <v>0.73353343296286577</v>
      </c>
      <c r="F648" s="161">
        <f t="shared" si="68"/>
        <v>1.126651429443253E-6</v>
      </c>
      <c r="G648" s="163">
        <f t="shared" si="71"/>
        <v>0.67</v>
      </c>
      <c r="H648" s="37" t="s">
        <v>288</v>
      </c>
      <c r="I648" s="308" t="s">
        <v>198</v>
      </c>
      <c r="J648" s="309">
        <v>1.126651429443253E-6</v>
      </c>
      <c r="K648" s="27"/>
      <c r="L648" s="267"/>
      <c r="M648" s="308"/>
      <c r="N648" s="309"/>
      <c r="O648" s="269"/>
      <c r="P648" s="269"/>
      <c r="Q648" s="269"/>
      <c r="R648" s="269"/>
      <c r="S648" s="38"/>
      <c r="T648" s="38"/>
      <c r="U648" s="38"/>
      <c r="V648" s="38"/>
      <c r="W648" s="38"/>
      <c r="X648" s="38"/>
      <c r="Y648" s="38"/>
      <c r="Z648" s="38"/>
      <c r="AA648" s="210"/>
    </row>
    <row r="649" spans="1:27" ht="12.75" customHeight="1" x14ac:dyDescent="0.25">
      <c r="A649" s="50">
        <f t="shared" si="70"/>
        <v>644</v>
      </c>
      <c r="B649" s="51"/>
      <c r="C649" s="52" t="str">
        <f t="shared" si="67"/>
        <v>1GGDRAGELC</v>
      </c>
      <c r="D649" s="52"/>
      <c r="E649" s="53">
        <f>+'CALCULO TARIFAS CC '!$P$45</f>
        <v>0.73353343296286577</v>
      </c>
      <c r="F649" s="161">
        <f t="shared" si="68"/>
        <v>6.9008399458460073E-8</v>
      </c>
      <c r="G649" s="163">
        <f t="shared" si="71"/>
        <v>0.04</v>
      </c>
      <c r="H649" s="37" t="s">
        <v>288</v>
      </c>
      <c r="I649" s="308" t="s">
        <v>199</v>
      </c>
      <c r="J649" s="309">
        <v>6.9008399458460073E-8</v>
      </c>
      <c r="K649" s="27"/>
      <c r="L649" s="267"/>
      <c r="M649" s="308"/>
      <c r="N649" s="309"/>
      <c r="O649" s="269"/>
      <c r="P649" s="269"/>
      <c r="Q649" s="269"/>
      <c r="R649" s="269"/>
      <c r="S649" s="38"/>
      <c r="T649" s="38"/>
      <c r="U649" s="38"/>
      <c r="V649" s="38"/>
      <c r="W649" s="38"/>
      <c r="X649" s="38"/>
      <c r="Y649" s="38"/>
      <c r="Z649" s="38"/>
      <c r="AA649" s="210"/>
    </row>
    <row r="650" spans="1:27" ht="12.75" customHeight="1" x14ac:dyDescent="0.25">
      <c r="A650" s="50">
        <f t="shared" si="70"/>
        <v>645</v>
      </c>
      <c r="B650" s="51"/>
      <c r="C650" s="52" t="str">
        <f t="shared" si="67"/>
        <v>1GGDRAGLAE</v>
      </c>
      <c r="D650" s="52"/>
      <c r="E650" s="53">
        <f>+'CALCULO TARIFAS CC '!$P$45</f>
        <v>0.73353343296286577</v>
      </c>
      <c r="F650" s="161">
        <f t="shared" si="68"/>
        <v>2.1785148431850349E-6</v>
      </c>
      <c r="G650" s="163">
        <f t="shared" si="71"/>
        <v>1.3</v>
      </c>
      <c r="H650" s="37" t="s">
        <v>288</v>
      </c>
      <c r="I650" s="308" t="s">
        <v>426</v>
      </c>
      <c r="J650" s="309">
        <v>2.1785148431850349E-6</v>
      </c>
      <c r="K650" s="27"/>
      <c r="L650" s="267"/>
      <c r="M650" s="308"/>
      <c r="N650" s="309"/>
      <c r="O650" s="269"/>
      <c r="P650" s="269"/>
      <c r="Q650" s="269"/>
      <c r="R650" s="269"/>
      <c r="S650" s="38"/>
      <c r="T650" s="38"/>
      <c r="U650" s="38"/>
      <c r="V650" s="38"/>
      <c r="W650" s="38"/>
      <c r="X650" s="38"/>
      <c r="Y650" s="38"/>
      <c r="Z650" s="38"/>
      <c r="AA650" s="210"/>
    </row>
    <row r="651" spans="1:27" ht="12.75" customHeight="1" x14ac:dyDescent="0.25">
      <c r="A651" s="50">
        <f t="shared" si="70"/>
        <v>646</v>
      </c>
      <c r="B651" s="51"/>
      <c r="C651" s="52" t="str">
        <f t="shared" si="67"/>
        <v>1GGDRAGPIN</v>
      </c>
      <c r="D651" s="52"/>
      <c r="E651" s="53">
        <f>+'CALCULO TARIFAS CC '!$P$45</f>
        <v>0.73353343296286577</v>
      </c>
      <c r="F651" s="161">
        <f t="shared" si="68"/>
        <v>5.0330933061682472E-7</v>
      </c>
      <c r="G651" s="163">
        <f t="shared" si="71"/>
        <v>0.3</v>
      </c>
      <c r="H651" s="37" t="s">
        <v>288</v>
      </c>
      <c r="I651" s="308" t="s">
        <v>200</v>
      </c>
      <c r="J651" s="309">
        <v>5.0330933061682472E-7</v>
      </c>
      <c r="K651" s="27"/>
      <c r="L651" s="267"/>
      <c r="M651" s="308"/>
      <c r="N651" s="309"/>
      <c r="O651" s="269"/>
      <c r="P651" s="269"/>
      <c r="Q651" s="269"/>
      <c r="R651" s="269"/>
      <c r="S651" s="38"/>
      <c r="T651" s="38"/>
      <c r="U651" s="38"/>
      <c r="V651" s="38"/>
      <c r="W651" s="38"/>
      <c r="X651" s="38"/>
      <c r="Y651" s="38"/>
      <c r="Z651" s="38"/>
      <c r="AA651" s="210"/>
    </row>
    <row r="652" spans="1:27" ht="12.75" customHeight="1" x14ac:dyDescent="0.25">
      <c r="A652" s="50">
        <f t="shared" si="70"/>
        <v>647</v>
      </c>
      <c r="B652" s="51"/>
      <c r="C652" s="52" t="str">
        <f t="shared" si="67"/>
        <v>1GGDRAGRAL</v>
      </c>
      <c r="D652" s="52"/>
      <c r="E652" s="53">
        <f>+'CALCULO TARIFAS CC '!$P$45</f>
        <v>0.73353343296286577</v>
      </c>
      <c r="F652" s="161">
        <f t="shared" si="68"/>
        <v>2.8348346172819624E-7</v>
      </c>
      <c r="G652" s="163">
        <f t="shared" si="71"/>
        <v>0.17</v>
      </c>
      <c r="H652" s="37" t="s">
        <v>288</v>
      </c>
      <c r="I652" s="308" t="s">
        <v>201</v>
      </c>
      <c r="J652" s="309">
        <v>2.8348346172819624E-7</v>
      </c>
      <c r="K652" s="27"/>
      <c r="L652" s="267"/>
      <c r="M652" s="308"/>
      <c r="N652" s="309"/>
      <c r="O652" s="269"/>
      <c r="P652" s="269"/>
      <c r="Q652" s="269"/>
      <c r="R652" s="269"/>
      <c r="S652" s="38"/>
      <c r="T652" s="38"/>
      <c r="U652" s="38"/>
      <c r="V652" s="38"/>
      <c r="W652" s="38"/>
      <c r="X652" s="38"/>
      <c r="Y652" s="38"/>
      <c r="Z652" s="38"/>
      <c r="AA652" s="210"/>
    </row>
    <row r="653" spans="1:27" ht="12.75" customHeight="1" x14ac:dyDescent="0.25">
      <c r="A653" s="50">
        <f t="shared" si="70"/>
        <v>648</v>
      </c>
      <c r="B653" s="51"/>
      <c r="C653" s="52" t="str">
        <f t="shared" si="67"/>
        <v>1GGDRAGROG</v>
      </c>
      <c r="D653" s="52"/>
      <c r="E653" s="53">
        <f>+'CALCULO TARIFAS CC '!$P$45</f>
        <v>0.73353343296286577</v>
      </c>
      <c r="F653" s="161">
        <f t="shared" si="68"/>
        <v>1.7537212554793727E-5</v>
      </c>
      <c r="G653" s="163">
        <f t="shared" si="71"/>
        <v>10.48</v>
      </c>
      <c r="H653" s="37" t="s">
        <v>288</v>
      </c>
      <c r="I653" s="308" t="s">
        <v>202</v>
      </c>
      <c r="J653" s="309">
        <v>1.7537212554793727E-5</v>
      </c>
      <c r="K653" s="27"/>
      <c r="L653" s="267"/>
      <c r="M653" s="308"/>
      <c r="N653" s="309"/>
      <c r="O653" s="269"/>
      <c r="P653" s="269"/>
      <c r="Q653" s="269"/>
      <c r="R653" s="269"/>
      <c r="S653" s="38"/>
      <c r="T653" s="38"/>
      <c r="U653" s="38"/>
      <c r="V653" s="38"/>
      <c r="W653" s="38"/>
      <c r="X653" s="38"/>
      <c r="Y653" s="38"/>
      <c r="Z653" s="38"/>
      <c r="AA653" s="210"/>
    </row>
    <row r="654" spans="1:27" ht="12.75" customHeight="1" x14ac:dyDescent="0.25">
      <c r="A654" s="50">
        <f t="shared" si="70"/>
        <v>649</v>
      </c>
      <c r="B654" s="51"/>
      <c r="C654" s="52" t="str">
        <f t="shared" si="67"/>
        <v>1GGDRAGROP</v>
      </c>
      <c r="D654" s="52"/>
      <c r="E654" s="53">
        <f>+'CALCULO TARIFAS CC '!$P$45</f>
        <v>0.73353343296286577</v>
      </c>
      <c r="F654" s="161">
        <f t="shared" si="68"/>
        <v>3.6027767573589267E-7</v>
      </c>
      <c r="G654" s="163">
        <f t="shared" si="71"/>
        <v>0.22</v>
      </c>
      <c r="H654" s="37" t="s">
        <v>288</v>
      </c>
      <c r="I654" s="308" t="s">
        <v>203</v>
      </c>
      <c r="J654" s="309">
        <v>3.6027767573589267E-7</v>
      </c>
      <c r="K654" s="27"/>
      <c r="L654" s="267"/>
      <c r="M654" s="308"/>
      <c r="N654" s="309"/>
      <c r="O654" s="269"/>
      <c r="P654" s="269"/>
      <c r="Q654" s="269"/>
      <c r="R654" s="269"/>
      <c r="S654" s="38"/>
      <c r="T654" s="38"/>
      <c r="U654" s="38"/>
      <c r="V654" s="38"/>
      <c r="W654" s="38"/>
      <c r="X654" s="38"/>
      <c r="Y654" s="38"/>
      <c r="Z654" s="38"/>
      <c r="AA654" s="210"/>
    </row>
    <row r="655" spans="1:27" ht="12.75" customHeight="1" x14ac:dyDescent="0.25">
      <c r="A655" s="50">
        <f t="shared" si="70"/>
        <v>650</v>
      </c>
      <c r="B655" s="51"/>
      <c r="C655" s="52" t="str">
        <f t="shared" si="67"/>
        <v>1GGDRCAURE</v>
      </c>
      <c r="D655" s="52"/>
      <c r="E655" s="53">
        <f>+'CALCULO TARIFAS CC '!$P$45</f>
        <v>0.73353343296286577</v>
      </c>
      <c r="F655" s="161">
        <f t="shared" si="68"/>
        <v>2.6242843841189414E-8</v>
      </c>
      <c r="G655" s="163">
        <f t="shared" si="71"/>
        <v>0.02</v>
      </c>
      <c r="H655" s="37" t="s">
        <v>288</v>
      </c>
      <c r="I655" s="308" t="s">
        <v>204</v>
      </c>
      <c r="J655" s="309">
        <v>2.6242843841189414E-8</v>
      </c>
      <c r="K655" s="27"/>
      <c r="L655" s="267"/>
      <c r="M655" s="308"/>
      <c r="N655" s="309"/>
      <c r="O655" s="269"/>
      <c r="P655" s="269"/>
      <c r="Q655" s="269"/>
      <c r="R655" s="269"/>
      <c r="S655" s="38"/>
      <c r="T655" s="38"/>
      <c r="U655" s="38"/>
      <c r="V655" s="38"/>
      <c r="W655" s="38"/>
      <c r="X655" s="38"/>
      <c r="Y655" s="38"/>
      <c r="Z655" s="38"/>
      <c r="AA655" s="210"/>
    </row>
    <row r="656" spans="1:27" ht="12.75" customHeight="1" x14ac:dyDescent="0.25">
      <c r="A656" s="50">
        <f t="shared" si="70"/>
        <v>651</v>
      </c>
      <c r="B656" s="51"/>
      <c r="C656" s="52" t="str">
        <f t="shared" si="67"/>
        <v>1GGDRCOAGO</v>
      </c>
      <c r="D656" s="52"/>
      <c r="E656" s="53">
        <f>+'CALCULO TARIFAS CC '!$P$45</f>
        <v>0.73353343296286577</v>
      </c>
      <c r="F656" s="161">
        <f t="shared" si="68"/>
        <v>8.9043649783872172E-8</v>
      </c>
      <c r="G656" s="163">
        <f t="shared" si="71"/>
        <v>0.05</v>
      </c>
      <c r="H656" s="37" t="s">
        <v>288</v>
      </c>
      <c r="I656" s="308" t="s">
        <v>205</v>
      </c>
      <c r="J656" s="309">
        <v>8.9043649783872172E-8</v>
      </c>
      <c r="K656" s="27"/>
      <c r="L656" s="267"/>
      <c r="M656" s="308"/>
      <c r="N656" s="309"/>
      <c r="O656" s="269"/>
      <c r="P656" s="269"/>
      <c r="Q656" s="269"/>
      <c r="R656" s="269"/>
      <c r="S656" s="38"/>
      <c r="T656" s="38"/>
      <c r="U656" s="38"/>
      <c r="V656" s="38"/>
      <c r="W656" s="38"/>
      <c r="X656" s="38"/>
      <c r="Y656" s="38"/>
      <c r="Z656" s="38"/>
      <c r="AA656" s="210"/>
    </row>
    <row r="657" spans="1:27" ht="12.75" customHeight="1" x14ac:dyDescent="0.25">
      <c r="A657" s="50">
        <f t="shared" si="70"/>
        <v>652</v>
      </c>
      <c r="B657" s="51"/>
      <c r="C657" s="52" t="str">
        <f t="shared" si="67"/>
        <v>1GGDRCOMAP</v>
      </c>
      <c r="D657" s="52"/>
      <c r="E657" s="53">
        <f>+'CALCULO TARIFAS CC '!$P$45</f>
        <v>0.73353343296286577</v>
      </c>
      <c r="F657" s="161">
        <f t="shared" si="68"/>
        <v>5.384644199635163E-8</v>
      </c>
      <c r="G657" s="163">
        <f t="shared" si="71"/>
        <v>0.03</v>
      </c>
      <c r="H657" s="37" t="s">
        <v>288</v>
      </c>
      <c r="I657" s="308" t="s">
        <v>206</v>
      </c>
      <c r="J657" s="309">
        <v>5.384644199635163E-8</v>
      </c>
      <c r="K657" s="27"/>
      <c r="L657" s="267"/>
      <c r="M657" s="308"/>
      <c r="N657" s="309"/>
      <c r="O657" s="269"/>
      <c r="P657" s="269"/>
      <c r="Q657" s="269"/>
      <c r="R657" s="269"/>
      <c r="S657" s="38"/>
      <c r="T657" s="38"/>
      <c r="U657" s="38"/>
      <c r="V657" s="38"/>
      <c r="W657" s="38"/>
      <c r="X657" s="38"/>
      <c r="Y657" s="38"/>
      <c r="Z657" s="38"/>
      <c r="AA657" s="210"/>
    </row>
    <row r="658" spans="1:27" ht="12.75" customHeight="1" x14ac:dyDescent="0.25">
      <c r="A658" s="50">
        <f t="shared" si="70"/>
        <v>653</v>
      </c>
      <c r="B658" s="51"/>
      <c r="C658" s="52" t="str">
        <f t="shared" si="67"/>
        <v>1GGDRCOMOE</v>
      </c>
      <c r="D658" s="52"/>
      <c r="E658" s="53">
        <f>+'CALCULO TARIFAS CC '!$P$45</f>
        <v>0.73353343296286577</v>
      </c>
      <c r="F658" s="161">
        <f t="shared" si="68"/>
        <v>7.5301113391371739E-8</v>
      </c>
      <c r="G658" s="163">
        <f t="shared" si="71"/>
        <v>0.05</v>
      </c>
      <c r="H658" s="37" t="s">
        <v>288</v>
      </c>
      <c r="I658" s="308" t="s">
        <v>759</v>
      </c>
      <c r="J658" s="309">
        <v>7.5301113391371739E-8</v>
      </c>
      <c r="K658" s="27"/>
      <c r="L658" s="267"/>
      <c r="M658" s="308"/>
      <c r="N658" s="309"/>
      <c r="O658" s="269"/>
      <c r="P658" s="269"/>
      <c r="Q658" s="269"/>
      <c r="R658" s="269"/>
      <c r="S658" s="38"/>
      <c r="T658" s="38"/>
      <c r="U658" s="38"/>
      <c r="V658" s="38"/>
      <c r="W658" s="38"/>
      <c r="X658" s="38"/>
      <c r="Y658" s="38"/>
      <c r="Z658" s="38"/>
      <c r="AA658" s="210"/>
    </row>
    <row r="659" spans="1:27" ht="12.75" customHeight="1" x14ac:dyDescent="0.25">
      <c r="A659" s="50">
        <f t="shared" si="70"/>
        <v>654</v>
      </c>
      <c r="B659" s="51"/>
      <c r="C659" s="52" t="str">
        <f t="shared" ref="C659:C690" si="72">I659</f>
        <v>1GGDRCORAL</v>
      </c>
      <c r="D659" s="52"/>
      <c r="E659" s="53">
        <f>+'CALCULO TARIFAS CC '!$P$45</f>
        <v>0.73353343296286577</v>
      </c>
      <c r="F659" s="161">
        <f t="shared" si="68"/>
        <v>1.6328344939292605E-7</v>
      </c>
      <c r="G659" s="163">
        <f t="shared" si="71"/>
        <v>0.1</v>
      </c>
      <c r="H659" s="37" t="s">
        <v>288</v>
      </c>
      <c r="I659" s="308" t="s">
        <v>207</v>
      </c>
      <c r="J659" s="309">
        <v>1.6328344939292605E-7</v>
      </c>
      <c r="K659" s="27"/>
      <c r="L659" s="267"/>
      <c r="M659" s="308"/>
      <c r="N659" s="309"/>
      <c r="O659" s="269"/>
      <c r="P659" s="269"/>
      <c r="Q659" s="269"/>
      <c r="R659" s="269"/>
      <c r="S659" s="38"/>
      <c r="T659" s="38"/>
      <c r="U659" s="38"/>
      <c r="V659" s="38"/>
      <c r="W659" s="38"/>
      <c r="X659" s="38"/>
      <c r="Y659" s="38"/>
      <c r="Z659" s="38"/>
      <c r="AA659" s="210"/>
    </row>
    <row r="660" spans="1:27" ht="12.75" customHeight="1" x14ac:dyDescent="0.25">
      <c r="A660" s="50">
        <f t="shared" si="70"/>
        <v>655</v>
      </c>
      <c r="B660" s="51"/>
      <c r="C660" s="52" t="str">
        <f t="shared" si="72"/>
        <v>1GGDRDELAU</v>
      </c>
      <c r="D660" s="52"/>
      <c r="E660" s="53">
        <f>+'CALCULO TARIFAS CC '!$P$45</f>
        <v>0.73353343296286577</v>
      </c>
      <c r="F660" s="161">
        <f t="shared" si="68"/>
        <v>3.753197770406121E-6</v>
      </c>
      <c r="G660" s="163">
        <f t="shared" si="71"/>
        <v>2.2400000000000002</v>
      </c>
      <c r="H660" s="37" t="s">
        <v>288</v>
      </c>
      <c r="I660" s="308" t="s">
        <v>208</v>
      </c>
      <c r="J660" s="309">
        <v>3.753197770406121E-6</v>
      </c>
      <c r="K660" s="27"/>
      <c r="L660" s="267"/>
      <c r="M660" s="308"/>
      <c r="N660" s="309"/>
      <c r="O660" s="269"/>
      <c r="P660" s="269"/>
      <c r="Q660" s="269"/>
      <c r="R660" s="269"/>
      <c r="S660" s="38"/>
      <c r="T660" s="38"/>
      <c r="U660" s="38"/>
      <c r="V660" s="38"/>
      <c r="W660" s="38"/>
      <c r="X660" s="38"/>
      <c r="Y660" s="38"/>
      <c r="Z660" s="38"/>
      <c r="AA660" s="210"/>
    </row>
    <row r="661" spans="1:27" ht="12.75" customHeight="1" x14ac:dyDescent="0.25">
      <c r="A661" s="50">
        <f t="shared" si="70"/>
        <v>656</v>
      </c>
      <c r="B661" s="51"/>
      <c r="C661" s="52" t="str">
        <f t="shared" si="72"/>
        <v>1GGDRENREA</v>
      </c>
      <c r="D661" s="52"/>
      <c r="E661" s="53">
        <f>+'CALCULO TARIFAS CC '!$P$45</f>
        <v>0.73353343296286577</v>
      </c>
      <c r="F661" s="161">
        <f t="shared" si="68"/>
        <v>1.7784563738156972E-6</v>
      </c>
      <c r="G661" s="163">
        <f t="shared" si="71"/>
        <v>1.06</v>
      </c>
      <c r="H661" s="37" t="s">
        <v>288</v>
      </c>
      <c r="I661" s="308" t="s">
        <v>209</v>
      </c>
      <c r="J661" s="309">
        <v>1.7784563738156972E-6</v>
      </c>
      <c r="K661" s="27"/>
      <c r="L661" s="267"/>
      <c r="M661" s="308"/>
      <c r="N661" s="309"/>
      <c r="O661" s="269"/>
      <c r="P661" s="269"/>
      <c r="Q661" s="269"/>
      <c r="R661" s="269"/>
      <c r="S661" s="38"/>
      <c r="T661" s="38"/>
      <c r="U661" s="38"/>
      <c r="V661" s="38"/>
      <c r="W661" s="38"/>
      <c r="X661" s="38"/>
      <c r="Y661" s="38"/>
      <c r="Z661" s="38"/>
      <c r="AA661" s="210"/>
    </row>
    <row r="662" spans="1:27" ht="12.75" customHeight="1" x14ac:dyDescent="0.25">
      <c r="A662" s="50">
        <f t="shared" si="70"/>
        <v>657</v>
      </c>
      <c r="B662" s="51"/>
      <c r="C662" s="52" t="str">
        <f t="shared" si="72"/>
        <v>1GGDRGEELP</v>
      </c>
      <c r="D662" s="52"/>
      <c r="E662" s="53">
        <f>+'CALCULO TARIFAS CC '!$P$45</f>
        <v>0.73353343296286577</v>
      </c>
      <c r="F662" s="161">
        <f t="shared" si="68"/>
        <v>4.1252831982681748E-8</v>
      </c>
      <c r="G662" s="163">
        <f t="shared" si="71"/>
        <v>0.02</v>
      </c>
      <c r="H662" s="37" t="s">
        <v>288</v>
      </c>
      <c r="I662" s="308" t="s">
        <v>210</v>
      </c>
      <c r="J662" s="309">
        <v>4.1252831982681748E-8</v>
      </c>
      <c r="K662" s="27"/>
      <c r="L662" s="267"/>
      <c r="M662" s="308"/>
      <c r="N662" s="309"/>
      <c r="O662" s="269"/>
      <c r="P662" s="269"/>
      <c r="Q662" s="269"/>
      <c r="R662" s="269"/>
      <c r="S662" s="38"/>
      <c r="T662" s="38"/>
      <c r="U662" s="38"/>
      <c r="V662" s="38"/>
      <c r="W662" s="38"/>
      <c r="X662" s="38"/>
      <c r="Y662" s="38"/>
      <c r="Z662" s="38"/>
      <c r="AA662" s="210"/>
    </row>
    <row r="663" spans="1:27" ht="12.75" customHeight="1" x14ac:dyDescent="0.25">
      <c r="A663" s="50">
        <f t="shared" si="70"/>
        <v>658</v>
      </c>
      <c r="B663" s="51"/>
      <c r="C663" s="52" t="str">
        <f t="shared" si="72"/>
        <v>1GGDRGEENP</v>
      </c>
      <c r="D663" s="52"/>
      <c r="E663" s="53">
        <f>+'CALCULO TARIFAS CC '!$P$45</f>
        <v>0.73353343296286577</v>
      </c>
      <c r="F663" s="161">
        <f t="shared" si="68"/>
        <v>4.9864456443452229E-6</v>
      </c>
      <c r="G663" s="163">
        <f t="shared" si="71"/>
        <v>2.98</v>
      </c>
      <c r="H663" s="37" t="s">
        <v>288</v>
      </c>
      <c r="I663" s="308" t="s">
        <v>211</v>
      </c>
      <c r="J663" s="309">
        <v>4.9864456443452229E-6</v>
      </c>
      <c r="K663" s="27"/>
      <c r="L663" s="267"/>
      <c r="M663" s="308"/>
      <c r="N663" s="309"/>
      <c r="O663" s="269"/>
      <c r="P663" s="269"/>
      <c r="Q663" s="269"/>
      <c r="R663" s="269"/>
      <c r="S663" s="38"/>
      <c r="T663" s="38"/>
      <c r="U663" s="38"/>
      <c r="V663" s="38"/>
      <c r="W663" s="38"/>
      <c r="X663" s="38"/>
      <c r="Y663" s="38"/>
      <c r="Z663" s="38"/>
      <c r="AA663" s="210"/>
    </row>
    <row r="664" spans="1:27" ht="12.75" customHeight="1" x14ac:dyDescent="0.25">
      <c r="A664" s="50">
        <f t="shared" si="70"/>
        <v>659</v>
      </c>
      <c r="B664" s="51"/>
      <c r="C664" s="52" t="str">
        <f t="shared" si="72"/>
        <v>1GGDRGEVEL</v>
      </c>
      <c r="D664" s="52"/>
      <c r="E664" s="53">
        <f>+'CALCULO TARIFAS CC '!$P$45</f>
        <v>0.73353343296286577</v>
      </c>
      <c r="F664" s="161">
        <f t="shared" si="68"/>
        <v>2.9700129128498213E-8</v>
      </c>
      <c r="G664" s="163">
        <f t="shared" si="71"/>
        <v>0.02</v>
      </c>
      <c r="H664" s="37" t="s">
        <v>288</v>
      </c>
      <c r="I664" s="308" t="s">
        <v>212</v>
      </c>
      <c r="J664" s="309">
        <v>2.9700129128498213E-8</v>
      </c>
      <c r="K664" s="27"/>
      <c r="L664" s="267"/>
      <c r="M664" s="308"/>
      <c r="N664" s="309"/>
      <c r="O664" s="269"/>
      <c r="P664" s="269"/>
      <c r="Q664" s="269"/>
      <c r="R664" s="269"/>
      <c r="S664" s="38"/>
      <c r="T664" s="38"/>
      <c r="U664" s="38"/>
      <c r="V664" s="38"/>
      <c r="W664" s="38"/>
      <c r="X664" s="38"/>
      <c r="Y664" s="38"/>
      <c r="Z664" s="38"/>
      <c r="AA664" s="210"/>
    </row>
    <row r="665" spans="1:27" ht="12.75" customHeight="1" x14ac:dyDescent="0.25">
      <c r="A665" s="50">
        <f t="shared" si="70"/>
        <v>660</v>
      </c>
      <c r="B665" s="51"/>
      <c r="C665" s="52" t="str">
        <f t="shared" si="72"/>
        <v>1GGDRGRUCU</v>
      </c>
      <c r="D665" s="52"/>
      <c r="E665" s="53">
        <f>+'CALCULO TARIFAS CC '!$P$45</f>
        <v>0.73353343296286577</v>
      </c>
      <c r="F665" s="161">
        <f t="shared" si="68"/>
        <v>3.0133154130841694E-8</v>
      </c>
      <c r="G665" s="163">
        <f t="shared" si="71"/>
        <v>0.02</v>
      </c>
      <c r="H665" s="37" t="s">
        <v>288</v>
      </c>
      <c r="I665" s="308" t="s">
        <v>213</v>
      </c>
      <c r="J665" s="309">
        <v>3.0133154130841694E-8</v>
      </c>
      <c r="K665" s="27"/>
      <c r="L665" s="267"/>
      <c r="M665" s="308"/>
      <c r="N665" s="309"/>
      <c r="O665" s="269"/>
      <c r="P665" s="269"/>
      <c r="Q665" s="269"/>
      <c r="R665" s="269"/>
      <c r="S665" s="38"/>
      <c r="T665" s="38"/>
      <c r="U665" s="38"/>
      <c r="V665" s="38"/>
      <c r="W665" s="38"/>
      <c r="X665" s="38"/>
      <c r="Y665" s="38"/>
      <c r="Z665" s="38"/>
      <c r="AA665" s="210"/>
    </row>
    <row r="666" spans="1:27" ht="12.75" customHeight="1" x14ac:dyDescent="0.25">
      <c r="A666" s="50">
        <f t="shared" si="70"/>
        <v>661</v>
      </c>
      <c r="B666" s="51"/>
      <c r="C666" s="52" t="str">
        <f t="shared" si="72"/>
        <v>1GGDRHICAA</v>
      </c>
      <c r="D666" s="52"/>
      <c r="E666" s="53">
        <f>+'CALCULO TARIFAS CC '!$P$45</f>
        <v>0.73353343296286577</v>
      </c>
      <c r="F666" s="161">
        <f t="shared" si="68"/>
        <v>2.1368092230347395E-6</v>
      </c>
      <c r="G666" s="163">
        <f t="shared" si="71"/>
        <v>1.28</v>
      </c>
      <c r="H666" s="37" t="s">
        <v>288</v>
      </c>
      <c r="I666" s="308" t="s">
        <v>214</v>
      </c>
      <c r="J666" s="309">
        <v>2.1368092230347395E-6</v>
      </c>
      <c r="K666" s="27"/>
      <c r="L666" s="267"/>
      <c r="M666" s="308"/>
      <c r="N666" s="309"/>
      <c r="O666" s="269"/>
      <c r="P666" s="269"/>
      <c r="Q666" s="269"/>
      <c r="R666" s="269"/>
      <c r="S666" s="38"/>
      <c r="T666" s="38"/>
      <c r="U666" s="38"/>
      <c r="V666" s="38"/>
      <c r="W666" s="38"/>
      <c r="X666" s="38"/>
      <c r="Y666" s="38"/>
      <c r="Z666" s="38"/>
      <c r="AA666" s="210"/>
    </row>
    <row r="667" spans="1:27" ht="12.75" customHeight="1" x14ac:dyDescent="0.25">
      <c r="A667" s="50">
        <f t="shared" si="70"/>
        <v>662</v>
      </c>
      <c r="B667" s="51"/>
      <c r="C667" s="52" t="str">
        <f t="shared" si="72"/>
        <v>1GGDRHIDCH</v>
      </c>
      <c r="D667" s="52"/>
      <c r="E667" s="53">
        <f>+'CALCULO TARIFAS CC '!$P$45</f>
        <v>0.73353343296286577</v>
      </c>
      <c r="F667" s="161">
        <f t="shared" si="68"/>
        <v>9.9777600420094098E-7</v>
      </c>
      <c r="G667" s="163">
        <f t="shared" si="71"/>
        <v>0.6</v>
      </c>
      <c r="H667" s="37" t="s">
        <v>288</v>
      </c>
      <c r="I667" s="308" t="s">
        <v>760</v>
      </c>
      <c r="J667" s="309">
        <v>9.9777600420094098E-7</v>
      </c>
      <c r="K667" s="27"/>
      <c r="L667" s="267"/>
      <c r="M667" s="308"/>
      <c r="N667" s="309"/>
      <c r="O667" s="269"/>
      <c r="P667" s="269"/>
      <c r="Q667" s="269"/>
      <c r="R667" s="269"/>
      <c r="S667" s="38"/>
      <c r="T667" s="38"/>
      <c r="U667" s="38"/>
      <c r="V667" s="38"/>
      <c r="W667" s="38"/>
      <c r="X667" s="38"/>
      <c r="Y667" s="38"/>
      <c r="Z667" s="38"/>
      <c r="AA667" s="210"/>
    </row>
    <row r="668" spans="1:27" ht="12.75" customHeight="1" x14ac:dyDescent="0.25">
      <c r="A668" s="50">
        <f t="shared" si="70"/>
        <v>663</v>
      </c>
      <c r="B668" s="51"/>
      <c r="C668" s="52" t="str">
        <f t="shared" si="72"/>
        <v>1GGDRHIDMA</v>
      </c>
      <c r="D668" s="52"/>
      <c r="E668" s="53">
        <f>+'CALCULO TARIFAS CC '!$P$45</f>
        <v>0.73353343296286577</v>
      </c>
      <c r="F668" s="161">
        <f t="shared" si="68"/>
        <v>9.7656998771839025E-6</v>
      </c>
      <c r="G668" s="163">
        <f t="shared" si="71"/>
        <v>5.84</v>
      </c>
      <c r="H668" s="37" t="s">
        <v>288</v>
      </c>
      <c r="I668" s="308" t="s">
        <v>215</v>
      </c>
      <c r="J668" s="309">
        <v>9.7656998771839025E-6</v>
      </c>
      <c r="K668" s="27"/>
      <c r="L668" s="267"/>
      <c r="M668" s="308"/>
      <c r="N668" s="309"/>
      <c r="O668" s="269"/>
      <c r="P668" s="269"/>
      <c r="Q668" s="269"/>
      <c r="R668" s="269"/>
      <c r="S668" s="38"/>
      <c r="T668" s="38"/>
      <c r="U668" s="38"/>
      <c r="V668" s="38"/>
      <c r="W668" s="38"/>
      <c r="X668" s="38"/>
      <c r="Y668" s="38"/>
      <c r="Z668" s="38"/>
      <c r="AA668" s="210"/>
    </row>
    <row r="669" spans="1:27" ht="12.75" customHeight="1" x14ac:dyDescent="0.25">
      <c r="A669" s="50">
        <f t="shared" si="70"/>
        <v>664</v>
      </c>
      <c r="B669" s="51"/>
      <c r="C669" s="52" t="str">
        <f t="shared" si="72"/>
        <v>1GGDRHIDRO</v>
      </c>
      <c r="D669" s="52"/>
      <c r="E669" s="53">
        <f>+'CALCULO TARIFAS CC '!$P$45</f>
        <v>0.73353343296286577</v>
      </c>
      <c r="F669" s="161">
        <f t="shared" si="68"/>
        <v>3.2010088150191E-6</v>
      </c>
      <c r="G669" s="163">
        <f t="shared" si="71"/>
        <v>1.91</v>
      </c>
      <c r="H669" s="37" t="s">
        <v>288</v>
      </c>
      <c r="I669" s="308" t="s">
        <v>216</v>
      </c>
      <c r="J669" s="309">
        <v>3.2010088150191E-6</v>
      </c>
      <c r="K669" s="27"/>
      <c r="L669" s="267"/>
      <c r="M669" s="308"/>
      <c r="N669" s="309"/>
      <c r="O669" s="269"/>
      <c r="P669" s="269"/>
      <c r="Q669" s="269"/>
      <c r="R669" s="269"/>
      <c r="S669" s="38"/>
      <c r="T669" s="38"/>
      <c r="U669" s="38"/>
      <c r="V669" s="38"/>
      <c r="W669" s="38"/>
      <c r="X669" s="38"/>
      <c r="Y669" s="38"/>
      <c r="Z669" s="38"/>
      <c r="AA669" s="210"/>
    </row>
    <row r="670" spans="1:27" ht="12.75" customHeight="1" x14ac:dyDescent="0.25">
      <c r="A670" s="50">
        <f t="shared" si="70"/>
        <v>665</v>
      </c>
      <c r="B670" s="51"/>
      <c r="C670" s="52" t="str">
        <f t="shared" si="72"/>
        <v>1GGDRHIDRX</v>
      </c>
      <c r="D670" s="52"/>
      <c r="E670" s="53">
        <f>+'CALCULO TARIFAS CC '!$P$45</f>
        <v>0.73353343296286577</v>
      </c>
      <c r="F670" s="161">
        <f t="shared" si="68"/>
        <v>4.7437324397091786E-7</v>
      </c>
      <c r="G670" s="163">
        <f t="shared" si="71"/>
        <v>0.28000000000000003</v>
      </c>
      <c r="H670" s="37" t="s">
        <v>288</v>
      </c>
      <c r="I670" s="308" t="s">
        <v>421</v>
      </c>
      <c r="J670" s="309">
        <v>4.7437324397091786E-7</v>
      </c>
      <c r="K670" s="27"/>
      <c r="L670" s="267"/>
      <c r="M670" s="308"/>
      <c r="N670" s="309"/>
      <c r="O670" s="269"/>
      <c r="P670" s="269"/>
      <c r="Q670" s="269"/>
      <c r="R670" s="269"/>
      <c r="S670" s="38"/>
      <c r="T670" s="38"/>
      <c r="U670" s="38"/>
      <c r="V670" s="38"/>
      <c r="W670" s="38"/>
      <c r="X670" s="38"/>
      <c r="Y670" s="38"/>
      <c r="Z670" s="38"/>
      <c r="AA670" s="210"/>
    </row>
    <row r="671" spans="1:27" ht="12.75" customHeight="1" x14ac:dyDescent="0.25">
      <c r="A671" s="50">
        <f t="shared" si="70"/>
        <v>666</v>
      </c>
      <c r="B671" s="51"/>
      <c r="C671" s="52" t="str">
        <f t="shared" si="72"/>
        <v>1GGDRHIDSA</v>
      </c>
      <c r="D671" s="52"/>
      <c r="E671" s="53">
        <f>+'CALCULO TARIFAS CC '!$P$45</f>
        <v>0.73353343296286577</v>
      </c>
      <c r="F671" s="161">
        <f t="shared" si="68"/>
        <v>1.5495676732909718E-6</v>
      </c>
      <c r="G671" s="163">
        <f t="shared" si="71"/>
        <v>0.93</v>
      </c>
      <c r="H671" s="37" t="s">
        <v>288</v>
      </c>
      <c r="I671" s="308" t="s">
        <v>482</v>
      </c>
      <c r="J671" s="309">
        <v>1.5495676732909718E-6</v>
      </c>
      <c r="K671" s="27"/>
      <c r="L671" s="267"/>
      <c r="M671" s="308"/>
      <c r="N671" s="309"/>
      <c r="O671" s="269"/>
      <c r="P671" s="269"/>
      <c r="Q671" s="269"/>
      <c r="R671" s="269"/>
      <c r="S671" s="38"/>
      <c r="T671" s="38"/>
      <c r="U671" s="38"/>
      <c r="V671" s="38"/>
      <c r="W671" s="38"/>
      <c r="X671" s="38"/>
      <c r="Y671" s="38"/>
      <c r="Z671" s="38"/>
      <c r="AA671" s="210"/>
    </row>
    <row r="672" spans="1:27" ht="12.75" customHeight="1" x14ac:dyDescent="0.25">
      <c r="A672" s="50">
        <f t="shared" si="70"/>
        <v>667</v>
      </c>
      <c r="B672" s="51"/>
      <c r="C672" s="52" t="str">
        <f t="shared" si="72"/>
        <v>1GGDRHIDSD</v>
      </c>
      <c r="D672" s="52"/>
      <c r="E672" s="53">
        <f>+'CALCULO TARIFAS CC '!$P$45</f>
        <v>0.73353343296286577</v>
      </c>
      <c r="F672" s="161">
        <f t="shared" si="68"/>
        <v>9.3746843178583379E-9</v>
      </c>
      <c r="G672" s="163">
        <f t="shared" si="71"/>
        <v>0.01</v>
      </c>
      <c r="H672" s="37" t="s">
        <v>288</v>
      </c>
      <c r="I672" s="308" t="s">
        <v>217</v>
      </c>
      <c r="J672" s="309">
        <v>9.3746843178583379E-9</v>
      </c>
      <c r="K672" s="27"/>
      <c r="L672" s="267"/>
      <c r="M672" s="308"/>
      <c r="N672" s="309"/>
      <c r="O672" s="269"/>
      <c r="P672" s="269"/>
      <c r="Q672" s="269"/>
      <c r="R672" s="269"/>
      <c r="S672" s="38"/>
      <c r="T672" s="38"/>
      <c r="U672" s="38"/>
      <c r="V672" s="38"/>
      <c r="W672" s="38"/>
      <c r="X672" s="38"/>
      <c r="Y672" s="38"/>
      <c r="Z672" s="38"/>
      <c r="AA672" s="210"/>
    </row>
    <row r="673" spans="1:27" ht="12.75" customHeight="1" x14ac:dyDescent="0.25">
      <c r="A673" s="50">
        <f t="shared" si="70"/>
        <v>668</v>
      </c>
      <c r="B673" s="51"/>
      <c r="C673" s="52" t="str">
        <f t="shared" si="72"/>
        <v>1GGDRHIDSM</v>
      </c>
      <c r="D673" s="52"/>
      <c r="E673" s="53">
        <f>+'CALCULO TARIFAS CC '!$P$45</f>
        <v>0.73353343296286577</v>
      </c>
      <c r="F673" s="161">
        <f t="shared" si="68"/>
        <v>3.1840855813781801E-6</v>
      </c>
      <c r="G673" s="163">
        <f t="shared" si="71"/>
        <v>1.9</v>
      </c>
      <c r="H673" s="37" t="s">
        <v>288</v>
      </c>
      <c r="I673" s="308" t="s">
        <v>218</v>
      </c>
      <c r="J673" s="309">
        <v>3.1840855813781801E-6</v>
      </c>
      <c r="K673" s="27"/>
      <c r="L673" s="267"/>
      <c r="M673" s="308"/>
      <c r="N673" s="309"/>
      <c r="O673" s="269"/>
      <c r="P673" s="269"/>
      <c r="Q673" s="269"/>
      <c r="R673" s="269"/>
      <c r="S673" s="38"/>
      <c r="T673" s="38"/>
      <c r="U673" s="38"/>
      <c r="V673" s="38"/>
      <c r="W673" s="38"/>
      <c r="X673" s="38"/>
      <c r="Y673" s="38"/>
      <c r="Z673" s="38"/>
      <c r="AA673" s="210"/>
    </row>
    <row r="674" spans="1:27" ht="12.75" customHeight="1" x14ac:dyDescent="0.25">
      <c r="A674" s="50">
        <f t="shared" si="70"/>
        <v>669</v>
      </c>
      <c r="B674" s="51"/>
      <c r="C674" s="52" t="str">
        <f t="shared" si="72"/>
        <v>1GGDRHIELB</v>
      </c>
      <c r="D674" s="52"/>
      <c r="E674" s="53">
        <f>+'CALCULO TARIFAS CC '!$P$45</f>
        <v>0.73353343296286577</v>
      </c>
      <c r="F674" s="161">
        <f t="shared" si="68"/>
        <v>3.2340189190882579E-6</v>
      </c>
      <c r="G674" s="163">
        <f t="shared" si="71"/>
        <v>1.93</v>
      </c>
      <c r="H674" s="37" t="s">
        <v>288</v>
      </c>
      <c r="I674" s="308" t="s">
        <v>219</v>
      </c>
      <c r="J674" s="309">
        <v>3.2340189190882579E-6</v>
      </c>
      <c r="K674" s="27"/>
      <c r="L674" s="267"/>
      <c r="M674" s="308"/>
      <c r="N674" s="309"/>
      <c r="O674" s="269"/>
      <c r="P674" s="269"/>
      <c r="Q674" s="269"/>
      <c r="R674" s="269"/>
      <c r="S674" s="38"/>
      <c r="T674" s="38"/>
      <c r="U674" s="38"/>
      <c r="V674" s="38"/>
      <c r="W674" s="38"/>
      <c r="X674" s="38"/>
      <c r="Y674" s="38"/>
      <c r="Z674" s="38"/>
      <c r="AA674" s="210"/>
    </row>
    <row r="675" spans="1:27" ht="12.75" customHeight="1" x14ac:dyDescent="0.25">
      <c r="A675" s="50">
        <f t="shared" si="70"/>
        <v>670</v>
      </c>
      <c r="B675" s="51"/>
      <c r="C675" s="52" t="str">
        <f t="shared" si="72"/>
        <v>1GGDRHIELC</v>
      </c>
      <c r="D675" s="52"/>
      <c r="E675" s="53">
        <f>+'CALCULO TARIFAS CC '!$P$45</f>
        <v>0.73353343296286577</v>
      </c>
      <c r="F675" s="161">
        <f t="shared" si="68"/>
        <v>1.4457059392710883E-6</v>
      </c>
      <c r="G675" s="163">
        <f t="shared" si="71"/>
        <v>0.86</v>
      </c>
      <c r="H675" s="37" t="s">
        <v>288</v>
      </c>
      <c r="I675" s="308" t="s">
        <v>220</v>
      </c>
      <c r="J675" s="309">
        <v>1.4457059392710883E-6</v>
      </c>
      <c r="K675" s="27"/>
      <c r="L675" s="267"/>
      <c r="M675" s="308"/>
      <c r="N675" s="309"/>
      <c r="O675" s="269"/>
      <c r="P675" s="269"/>
      <c r="Q675" s="269"/>
      <c r="R675" s="269"/>
      <c r="S675" s="38"/>
      <c r="T675" s="38"/>
      <c r="U675" s="38"/>
      <c r="V675" s="38"/>
      <c r="W675" s="38"/>
      <c r="X675" s="38"/>
      <c r="Y675" s="38"/>
      <c r="Z675" s="38"/>
      <c r="AA675" s="210"/>
    </row>
    <row r="676" spans="1:27" ht="12.75" customHeight="1" x14ac:dyDescent="0.25">
      <c r="A676" s="50">
        <f t="shared" si="70"/>
        <v>671</v>
      </c>
      <c r="B676" s="51"/>
      <c r="C676" s="52" t="str">
        <f t="shared" si="72"/>
        <v>1GGDRHISAA</v>
      </c>
      <c r="D676" s="52"/>
      <c r="E676" s="53">
        <f>+'CALCULO TARIFAS CC '!$P$45</f>
        <v>0.73353343296286577</v>
      </c>
      <c r="F676" s="161">
        <f t="shared" si="68"/>
        <v>9.9924603661997774E-7</v>
      </c>
      <c r="G676" s="163">
        <f t="shared" si="71"/>
        <v>0.6</v>
      </c>
      <c r="H676" s="37" t="s">
        <v>288</v>
      </c>
      <c r="I676" s="308" t="s">
        <v>221</v>
      </c>
      <c r="J676" s="309">
        <v>9.9924603661997774E-7</v>
      </c>
      <c r="K676" s="27"/>
      <c r="L676" s="267"/>
      <c r="M676" s="308"/>
      <c r="N676" s="309"/>
      <c r="O676" s="269"/>
      <c r="P676" s="269"/>
      <c r="Q676" s="269"/>
      <c r="R676" s="269"/>
      <c r="S676" s="38"/>
      <c r="T676" s="38"/>
      <c r="U676" s="38"/>
      <c r="V676" s="38"/>
      <c r="W676" s="38"/>
      <c r="X676" s="38"/>
      <c r="Y676" s="38"/>
      <c r="Z676" s="38"/>
      <c r="AA676" s="210"/>
    </row>
    <row r="677" spans="1:27" ht="12.75" customHeight="1" x14ac:dyDescent="0.25">
      <c r="A677" s="50">
        <f t="shared" si="70"/>
        <v>672</v>
      </c>
      <c r="B677" s="51"/>
      <c r="C677" s="52" t="str">
        <f t="shared" si="72"/>
        <v>1GGDRINDBI</v>
      </c>
      <c r="D677" s="52"/>
      <c r="E677" s="53">
        <f>+'CALCULO TARIFAS CC '!$P$45</f>
        <v>0.73353343296286577</v>
      </c>
      <c r="F677" s="161">
        <f t="shared" si="68"/>
        <v>5.7767266310951928E-7</v>
      </c>
      <c r="G677" s="163">
        <f t="shared" si="71"/>
        <v>0.35</v>
      </c>
      <c r="H677" s="37" t="s">
        <v>288</v>
      </c>
      <c r="I677" s="308" t="s">
        <v>222</v>
      </c>
      <c r="J677" s="309">
        <v>5.7767266310951928E-7</v>
      </c>
      <c r="K677" s="27"/>
      <c r="L677" s="267"/>
      <c r="M677" s="308"/>
      <c r="N677" s="309"/>
      <c r="O677" s="269"/>
      <c r="P677" s="269"/>
      <c r="Q677" s="269"/>
      <c r="R677" s="269"/>
      <c r="S677" s="38"/>
      <c r="T677" s="38"/>
      <c r="U677" s="38"/>
      <c r="V677" s="38"/>
      <c r="W677" s="38"/>
      <c r="X677" s="38"/>
      <c r="Y677" s="38"/>
      <c r="Z677" s="38"/>
      <c r="AA677" s="210"/>
    </row>
    <row r="678" spans="1:27" ht="12.75" customHeight="1" x14ac:dyDescent="0.25">
      <c r="A678" s="50">
        <f t="shared" si="70"/>
        <v>673</v>
      </c>
      <c r="B678" s="51"/>
      <c r="C678" s="52" t="str">
        <f t="shared" si="72"/>
        <v>1GGDRLEEVE</v>
      </c>
      <c r="D678" s="52"/>
      <c r="E678" s="53">
        <f>+'CALCULO TARIFAS CC '!$P$45</f>
        <v>0.73353343296286577</v>
      </c>
      <c r="F678" s="161">
        <f t="shared" si="68"/>
        <v>8.2597435881298387E-7</v>
      </c>
      <c r="G678" s="163">
        <f t="shared" si="71"/>
        <v>0.49</v>
      </c>
      <c r="H678" s="37" t="s">
        <v>288</v>
      </c>
      <c r="I678" s="308" t="s">
        <v>450</v>
      </c>
      <c r="J678" s="309">
        <v>8.2597435881298387E-7</v>
      </c>
      <c r="K678" s="27"/>
      <c r="L678" s="267"/>
      <c r="M678" s="308"/>
      <c r="N678" s="309"/>
      <c r="O678" s="269"/>
      <c r="P678" s="269"/>
      <c r="Q678" s="269"/>
      <c r="R678" s="269"/>
      <c r="S678" s="38"/>
      <c r="T678" s="38"/>
      <c r="U678" s="38"/>
      <c r="V678" s="38"/>
      <c r="W678" s="38"/>
      <c r="X678" s="38"/>
      <c r="Y678" s="38"/>
      <c r="Z678" s="38"/>
      <c r="AA678" s="210"/>
    </row>
    <row r="679" spans="1:27" ht="12.75" customHeight="1" x14ac:dyDescent="0.25">
      <c r="A679" s="50">
        <f t="shared" si="70"/>
        <v>674</v>
      </c>
      <c r="B679" s="51"/>
      <c r="C679" s="52" t="str">
        <f t="shared" si="72"/>
        <v>1GGDRMONMA</v>
      </c>
      <c r="D679" s="52"/>
      <c r="E679" s="53">
        <f>+'CALCULO TARIFAS CC '!$P$45</f>
        <v>0.73353343296286577</v>
      </c>
      <c r="F679" s="161">
        <f t="shared" si="68"/>
        <v>5.0278051818213963E-8</v>
      </c>
      <c r="G679" s="163">
        <f t="shared" ref="G679:G710" si="73">+ROUND(E679*F679*$F$747,2)</f>
        <v>0.03</v>
      </c>
      <c r="H679" s="37" t="s">
        <v>288</v>
      </c>
      <c r="I679" s="308" t="s">
        <v>223</v>
      </c>
      <c r="J679" s="309">
        <v>5.0278051818213963E-8</v>
      </c>
      <c r="K679" s="27"/>
      <c r="L679" s="267"/>
      <c r="M679" s="308"/>
      <c r="N679" s="309"/>
      <c r="O679" s="269"/>
      <c r="P679" s="269"/>
      <c r="Q679" s="269"/>
      <c r="R679" s="269"/>
      <c r="S679" s="38"/>
      <c r="T679" s="38"/>
      <c r="U679" s="38"/>
      <c r="V679" s="38"/>
      <c r="W679" s="38"/>
      <c r="X679" s="38"/>
      <c r="Y679" s="38"/>
      <c r="Z679" s="38"/>
      <c r="AA679" s="210"/>
    </row>
    <row r="680" spans="1:27" ht="12.75" customHeight="1" x14ac:dyDescent="0.25">
      <c r="A680" s="50">
        <f t="shared" si="70"/>
        <v>675</v>
      </c>
      <c r="B680" s="51"/>
      <c r="C680" s="52" t="str">
        <f t="shared" si="72"/>
        <v>1GGDROSCAN</v>
      </c>
      <c r="D680" s="52"/>
      <c r="E680" s="53">
        <f>+'CALCULO TARIFAS CC '!$P$45</f>
        <v>0.73353343296286577</v>
      </c>
      <c r="F680" s="161">
        <f t="shared" si="68"/>
        <v>1.5034909935275869E-6</v>
      </c>
      <c r="G680" s="163">
        <f t="shared" si="73"/>
        <v>0.9</v>
      </c>
      <c r="H680" s="37" t="s">
        <v>288</v>
      </c>
      <c r="I680" s="308" t="s">
        <v>224</v>
      </c>
      <c r="J680" s="309">
        <v>1.5034909935275869E-6</v>
      </c>
      <c r="K680" s="27"/>
      <c r="L680" s="267"/>
      <c r="M680" s="308"/>
      <c r="N680" s="309"/>
      <c r="O680" s="269"/>
      <c r="P680" s="269"/>
      <c r="Q680" s="269"/>
      <c r="R680" s="269"/>
      <c r="S680" s="38"/>
      <c r="T680" s="38"/>
      <c r="U680" s="38"/>
      <c r="V680" s="38"/>
      <c r="W680" s="38"/>
      <c r="X680" s="38"/>
      <c r="Y680" s="38"/>
      <c r="Z680" s="38"/>
      <c r="AA680" s="210"/>
    </row>
    <row r="681" spans="1:27" ht="12.75" customHeight="1" x14ac:dyDescent="0.25">
      <c r="A681" s="50">
        <f t="shared" si="70"/>
        <v>676</v>
      </c>
      <c r="B681" s="51"/>
      <c r="C681" s="52" t="str">
        <f t="shared" si="72"/>
        <v>1GGDRPRSOG</v>
      </c>
      <c r="D681" s="52"/>
      <c r="E681" s="53">
        <f>+'CALCULO TARIFAS CC '!$P$45</f>
        <v>0.73353343296286577</v>
      </c>
      <c r="F681" s="161">
        <f t="shared" si="68"/>
        <v>2.0957522434471159E-9</v>
      </c>
      <c r="G681" s="163">
        <f t="shared" si="73"/>
        <v>0</v>
      </c>
      <c r="H681" s="37" t="s">
        <v>288</v>
      </c>
      <c r="I681" s="308" t="s">
        <v>225</v>
      </c>
      <c r="J681" s="309">
        <v>2.0957522434471159E-9</v>
      </c>
      <c r="K681" s="27"/>
      <c r="L681" s="267"/>
      <c r="M681" s="308"/>
      <c r="N681" s="309"/>
      <c r="O681" s="269"/>
      <c r="P681" s="269"/>
      <c r="Q681" s="269"/>
      <c r="R681" s="269"/>
      <c r="S681" s="38"/>
      <c r="T681" s="38"/>
      <c r="U681" s="38"/>
      <c r="V681" s="38"/>
      <c r="W681" s="38"/>
      <c r="X681" s="38"/>
      <c r="Y681" s="38"/>
      <c r="Z681" s="38"/>
      <c r="AA681" s="210"/>
    </row>
    <row r="682" spans="1:27" ht="12.75" customHeight="1" x14ac:dyDescent="0.25">
      <c r="A682" s="50">
        <f t="shared" si="70"/>
        <v>677</v>
      </c>
      <c r="B682" s="51"/>
      <c r="C682" s="52" t="str">
        <f t="shared" si="72"/>
        <v>1GGDRPUNCI   </v>
      </c>
      <c r="D682" s="52"/>
      <c r="E682" s="53">
        <f>+'CALCULO TARIFAS CC '!$P$45</f>
        <v>0.73353343296286577</v>
      </c>
      <c r="F682" s="161">
        <f t="shared" si="68"/>
        <v>9.1845005645494919E-7</v>
      </c>
      <c r="G682" s="163">
        <f t="shared" si="73"/>
        <v>0.55000000000000004</v>
      </c>
      <c r="H682" s="37" t="s">
        <v>288</v>
      </c>
      <c r="I682" s="308" t="s">
        <v>866</v>
      </c>
      <c r="J682" s="309">
        <v>9.1845005645494919E-7</v>
      </c>
      <c r="K682" s="27"/>
      <c r="L682" s="267"/>
      <c r="M682" s="308"/>
      <c r="N682" s="309"/>
      <c r="O682" s="269"/>
      <c r="P682" s="269"/>
      <c r="Q682" s="269"/>
      <c r="R682" s="269"/>
      <c r="S682" s="38"/>
      <c r="T682" s="38"/>
      <c r="U682" s="38"/>
      <c r="V682" s="38"/>
      <c r="W682" s="38"/>
      <c r="X682" s="38"/>
      <c r="Y682" s="38"/>
      <c r="Z682" s="38"/>
      <c r="AA682" s="210"/>
    </row>
    <row r="683" spans="1:27" ht="12.75" customHeight="1" x14ac:dyDescent="0.25">
      <c r="A683" s="50">
        <f t="shared" si="70"/>
        <v>678</v>
      </c>
      <c r="B683" s="51"/>
      <c r="C683" s="52" t="str">
        <f t="shared" si="72"/>
        <v>1GGDRREGEN</v>
      </c>
      <c r="D683" s="52"/>
      <c r="E683" s="53">
        <f>+'CALCULO TARIFAS CC '!$P$45</f>
        <v>0.73353343296286577</v>
      </c>
      <c r="F683" s="161">
        <f t="shared" si="68"/>
        <v>6.1490535017828917E-7</v>
      </c>
      <c r="G683" s="163">
        <f t="shared" si="73"/>
        <v>0.37</v>
      </c>
      <c r="H683" s="37" t="s">
        <v>288</v>
      </c>
      <c r="I683" s="308" t="s">
        <v>226</v>
      </c>
      <c r="J683" s="309">
        <v>6.1490535017828917E-7</v>
      </c>
      <c r="K683" s="27"/>
      <c r="L683" s="267"/>
      <c r="M683" s="308"/>
      <c r="N683" s="309"/>
      <c r="O683" s="269"/>
      <c r="P683" s="269"/>
      <c r="Q683" s="269"/>
      <c r="R683" s="269"/>
      <c r="S683" s="38"/>
      <c r="T683" s="38"/>
      <c r="U683" s="38"/>
      <c r="V683" s="38"/>
      <c r="W683" s="38"/>
      <c r="X683" s="38"/>
      <c r="Y683" s="38"/>
      <c r="Z683" s="38"/>
      <c r="AA683" s="210"/>
    </row>
    <row r="684" spans="1:27" ht="12.75" customHeight="1" x14ac:dyDescent="0.25">
      <c r="A684" s="50">
        <f t="shared" si="70"/>
        <v>679</v>
      </c>
      <c r="B684" s="51"/>
      <c r="C684" s="52" t="str">
        <f t="shared" si="72"/>
        <v>1GGDRSERGE</v>
      </c>
      <c r="D684" s="52"/>
      <c r="E684" s="53">
        <f>+'CALCULO TARIFAS CC '!$P$45</f>
        <v>0.73353343296286577</v>
      </c>
      <c r="F684" s="161">
        <f t="shared" si="68"/>
        <v>1.5168445171711664E-7</v>
      </c>
      <c r="G684" s="163">
        <f t="shared" si="73"/>
        <v>0.09</v>
      </c>
      <c r="H684" s="37" t="s">
        <v>288</v>
      </c>
      <c r="I684" s="308" t="s">
        <v>227</v>
      </c>
      <c r="J684" s="309">
        <v>1.5168445171711664E-7</v>
      </c>
      <c r="K684" s="27"/>
      <c r="L684" s="267"/>
      <c r="M684" s="308"/>
      <c r="N684" s="309"/>
      <c r="O684" s="269"/>
      <c r="P684" s="269"/>
      <c r="Q684" s="269"/>
      <c r="R684" s="269"/>
      <c r="S684" s="38"/>
      <c r="T684" s="38"/>
      <c r="U684" s="38"/>
      <c r="V684" s="38"/>
      <c r="W684" s="38"/>
      <c r="X684" s="38"/>
      <c r="Y684" s="38"/>
      <c r="Z684" s="38"/>
      <c r="AA684" s="210"/>
    </row>
    <row r="685" spans="1:27" ht="12.75" customHeight="1" x14ac:dyDescent="0.25">
      <c r="A685" s="50">
        <f t="shared" si="70"/>
        <v>680</v>
      </c>
      <c r="B685" s="51"/>
      <c r="C685" s="52" t="str">
        <f t="shared" si="72"/>
        <v>1GGDRSIBOS</v>
      </c>
      <c r="D685" s="52"/>
      <c r="E685" s="53">
        <f>+'CALCULO TARIFAS CC '!$P$45</f>
        <v>0.73353343296286577</v>
      </c>
      <c r="F685" s="161">
        <f t="shared" si="68"/>
        <v>7.3152663204554038E-6</v>
      </c>
      <c r="G685" s="163">
        <f t="shared" si="73"/>
        <v>4.37</v>
      </c>
      <c r="H685" s="37" t="s">
        <v>288</v>
      </c>
      <c r="I685" s="308" t="s">
        <v>228</v>
      </c>
      <c r="J685" s="309">
        <v>7.3152663204554038E-6</v>
      </c>
      <c r="K685" s="27"/>
      <c r="L685" s="267"/>
      <c r="M685" s="308"/>
      <c r="N685" s="309"/>
      <c r="O685" s="269"/>
      <c r="P685" s="269"/>
      <c r="Q685" s="269"/>
      <c r="R685" s="269"/>
      <c r="S685" s="38"/>
      <c r="T685" s="38"/>
      <c r="U685" s="38"/>
      <c r="V685" s="38"/>
      <c r="W685" s="38"/>
      <c r="X685" s="38"/>
      <c r="Y685" s="38"/>
      <c r="Z685" s="38"/>
      <c r="AA685" s="210"/>
    </row>
    <row r="686" spans="1:27" ht="12.75" customHeight="1" x14ac:dyDescent="0.25">
      <c r="A686" s="50">
        <f t="shared" si="70"/>
        <v>681</v>
      </c>
      <c r="B686" s="51"/>
      <c r="C686" s="52" t="str">
        <f t="shared" si="72"/>
        <v>1GGDRTUNCA</v>
      </c>
      <c r="D686" s="52"/>
      <c r="E686" s="53">
        <f>+'CALCULO TARIFAS CC '!$P$45</f>
        <v>0.73353343296286577</v>
      </c>
      <c r="F686" s="161">
        <f t="shared" si="68"/>
        <v>5.5741839993847063E-6</v>
      </c>
      <c r="G686" s="163">
        <f t="shared" si="73"/>
        <v>3.33</v>
      </c>
      <c r="H686" s="37" t="s">
        <v>288</v>
      </c>
      <c r="I686" s="308" t="s">
        <v>229</v>
      </c>
      <c r="J686" s="309">
        <v>5.5741839993847063E-6</v>
      </c>
      <c r="K686" s="27"/>
      <c r="L686" s="267"/>
      <c r="M686" s="308"/>
      <c r="N686" s="309"/>
      <c r="O686" s="269"/>
      <c r="P686" s="269"/>
      <c r="Q686" s="269"/>
      <c r="R686" s="269"/>
      <c r="S686" s="38"/>
      <c r="T686" s="38"/>
      <c r="U686" s="38"/>
      <c r="V686" s="38"/>
      <c r="W686" s="38"/>
      <c r="X686" s="38"/>
      <c r="Y686" s="38"/>
      <c r="Z686" s="38"/>
      <c r="AA686" s="210"/>
    </row>
    <row r="687" spans="1:27" ht="12.75" customHeight="1" x14ac:dyDescent="0.25">
      <c r="A687" s="50">
        <f t="shared" si="70"/>
        <v>682</v>
      </c>
      <c r="B687" s="51"/>
      <c r="C687" s="52" t="str">
        <f t="shared" si="72"/>
        <v>1GGDRXOLPR</v>
      </c>
      <c r="D687" s="52"/>
      <c r="E687" s="53">
        <f>+'CALCULO TARIFAS CC '!$P$45</f>
        <v>0.73353343296286577</v>
      </c>
      <c r="F687" s="161">
        <f t="shared" si="68"/>
        <v>5.3442300207453819E-6</v>
      </c>
      <c r="G687" s="163">
        <f t="shared" si="73"/>
        <v>3.19</v>
      </c>
      <c r="H687" s="37" t="s">
        <v>288</v>
      </c>
      <c r="I687" s="308" t="s">
        <v>230</v>
      </c>
      <c r="J687" s="309">
        <v>5.3442300207453819E-6</v>
      </c>
      <c r="K687" s="27"/>
      <c r="L687" s="267"/>
      <c r="M687" s="308"/>
      <c r="N687" s="309"/>
      <c r="O687" s="269"/>
      <c r="P687" s="269"/>
      <c r="Q687" s="269"/>
      <c r="R687" s="269"/>
      <c r="S687" s="38"/>
      <c r="T687" s="38"/>
      <c r="U687" s="38"/>
      <c r="V687" s="38"/>
      <c r="W687" s="38"/>
      <c r="X687" s="38"/>
      <c r="Y687" s="38"/>
      <c r="Z687" s="38"/>
      <c r="AA687" s="210"/>
    </row>
    <row r="688" spans="1:27" ht="12.75" customHeight="1" x14ac:dyDescent="0.25">
      <c r="A688" s="50">
        <f t="shared" si="70"/>
        <v>683</v>
      </c>
      <c r="B688" s="51"/>
      <c r="C688" s="52" t="str">
        <f t="shared" si="72"/>
        <v>1GGENAGENA</v>
      </c>
      <c r="D688" s="52"/>
      <c r="E688" s="53">
        <f>+'CALCULO TARIFAS CC '!$P$45</f>
        <v>0.73353343296286577</v>
      </c>
      <c r="F688" s="161">
        <f t="shared" si="68"/>
        <v>1.5233221605633086E-8</v>
      </c>
      <c r="G688" s="163">
        <f t="shared" si="73"/>
        <v>0.01</v>
      </c>
      <c r="H688" s="37" t="s">
        <v>288</v>
      </c>
      <c r="I688" s="308" t="s">
        <v>779</v>
      </c>
      <c r="J688" s="309">
        <v>1.5233221605633086E-8</v>
      </c>
      <c r="K688" s="27"/>
      <c r="L688" s="267"/>
      <c r="M688" s="308"/>
      <c r="N688" s="309"/>
      <c r="O688" s="269"/>
      <c r="P688" s="269"/>
      <c r="Q688" s="269"/>
      <c r="R688" s="269"/>
      <c r="S688" s="38"/>
      <c r="T688" s="38"/>
      <c r="U688" s="38"/>
      <c r="V688" s="38"/>
      <c r="W688" s="38"/>
      <c r="X688" s="38"/>
      <c r="Y688" s="38"/>
      <c r="Z688" s="38"/>
      <c r="AA688" s="210"/>
    </row>
    <row r="689" spans="1:27" ht="12.75" customHeight="1" x14ac:dyDescent="0.25">
      <c r="A689" s="50">
        <f t="shared" si="70"/>
        <v>684</v>
      </c>
      <c r="B689" s="51"/>
      <c r="C689" s="52" t="str">
        <f t="shared" si="72"/>
        <v>1GGENAGRPO</v>
      </c>
      <c r="D689" s="52"/>
      <c r="E689" s="53">
        <f>+'CALCULO TARIFAS CC '!$P$45</f>
        <v>0.73353343296286577</v>
      </c>
      <c r="F689" s="161">
        <f t="shared" si="68"/>
        <v>2.3740911432785533E-5</v>
      </c>
      <c r="G689" s="163">
        <f t="shared" si="73"/>
        <v>14.19</v>
      </c>
      <c r="H689" s="37" t="s">
        <v>288</v>
      </c>
      <c r="I689" s="308" t="s">
        <v>231</v>
      </c>
      <c r="J689" s="309">
        <v>2.3740911432785533E-5</v>
      </c>
      <c r="K689" s="27"/>
      <c r="L689" s="267"/>
      <c r="M689" s="308"/>
      <c r="N689" s="309"/>
      <c r="O689" s="269"/>
      <c r="P689" s="269"/>
      <c r="Q689" s="269"/>
      <c r="R689" s="269"/>
      <c r="S689" s="38"/>
      <c r="T689" s="38"/>
      <c r="U689" s="38"/>
      <c r="V689" s="38"/>
      <c r="W689" s="38"/>
      <c r="X689" s="38"/>
      <c r="Y689" s="38"/>
      <c r="Z689" s="38"/>
      <c r="AA689" s="210"/>
    </row>
    <row r="690" spans="1:27" ht="12.75" customHeight="1" x14ac:dyDescent="0.25">
      <c r="A690" s="50">
        <f t="shared" si="70"/>
        <v>685</v>
      </c>
      <c r="B690" s="51"/>
      <c r="C690" s="52" t="str">
        <f t="shared" si="72"/>
        <v>1GGENALENR</v>
      </c>
      <c r="D690" s="52"/>
      <c r="E690" s="53">
        <f>+'CALCULO TARIFAS CC '!$P$45</f>
        <v>0.73353343296286577</v>
      </c>
      <c r="F690" s="161">
        <f t="shared" si="68"/>
        <v>1.2233668405824878E-4</v>
      </c>
      <c r="G690" s="163">
        <f t="shared" si="73"/>
        <v>73.12</v>
      </c>
      <c r="H690" s="37" t="s">
        <v>288</v>
      </c>
      <c r="I690" s="308" t="s">
        <v>232</v>
      </c>
      <c r="J690" s="309">
        <v>1.2233668405824878E-4</v>
      </c>
      <c r="K690" s="27"/>
      <c r="L690" s="267"/>
      <c r="M690" s="308"/>
      <c r="N690" s="309"/>
      <c r="O690" s="269"/>
      <c r="P690" s="269"/>
      <c r="Q690" s="269"/>
      <c r="R690" s="269"/>
      <c r="S690" s="38"/>
      <c r="T690" s="38"/>
      <c r="U690" s="38"/>
      <c r="V690" s="38"/>
      <c r="W690" s="38"/>
      <c r="X690" s="38"/>
      <c r="Y690" s="38"/>
      <c r="Z690" s="38"/>
      <c r="AA690" s="210"/>
    </row>
    <row r="691" spans="1:27" ht="12.75" customHeight="1" x14ac:dyDescent="0.25">
      <c r="A691" s="50">
        <f t="shared" si="70"/>
        <v>686</v>
      </c>
      <c r="B691" s="51"/>
      <c r="C691" s="52" t="str">
        <f t="shared" ref="C691:C746" si="74">I691</f>
        <v>1GGENANACA</v>
      </c>
      <c r="D691" s="52"/>
      <c r="E691" s="53">
        <f>+'CALCULO TARIFAS CC '!$P$45</f>
        <v>0.73353343296286577</v>
      </c>
      <c r="F691" s="161">
        <f t="shared" ref="F691:F746" si="75">J691</f>
        <v>1.5351364172776498E-4</v>
      </c>
      <c r="G691" s="163">
        <f t="shared" si="73"/>
        <v>91.75</v>
      </c>
      <c r="H691" s="37" t="s">
        <v>288</v>
      </c>
      <c r="I691" s="308" t="s">
        <v>233</v>
      </c>
      <c r="J691" s="309">
        <v>1.5351364172776498E-4</v>
      </c>
      <c r="K691" s="27"/>
      <c r="L691" s="267"/>
      <c r="M691" s="308"/>
      <c r="N691" s="309"/>
      <c r="O691" s="269"/>
      <c r="P691" s="269"/>
      <c r="Q691" s="269"/>
      <c r="R691" s="269"/>
      <c r="S691" s="38"/>
      <c r="T691" s="38"/>
      <c r="U691" s="38"/>
      <c r="V691" s="38"/>
      <c r="W691" s="38"/>
      <c r="X691" s="38"/>
      <c r="Y691" s="38"/>
      <c r="Z691" s="38"/>
      <c r="AA691" s="210"/>
    </row>
    <row r="692" spans="1:27" ht="12.75" customHeight="1" x14ac:dyDescent="0.25">
      <c r="A692" s="50">
        <f t="shared" si="70"/>
        <v>687</v>
      </c>
      <c r="B692" s="51"/>
      <c r="C692" s="52" t="str">
        <f t="shared" si="74"/>
        <v>1GGENCAISA</v>
      </c>
      <c r="D692" s="52"/>
      <c r="E692" s="53">
        <f>+'CALCULO TARIFAS CC '!$P$45</f>
        <v>0.73353343296286577</v>
      </c>
      <c r="F692" s="161">
        <f t="shared" si="75"/>
        <v>5.8854844903630969E-5</v>
      </c>
      <c r="G692" s="163">
        <f t="shared" si="73"/>
        <v>35.18</v>
      </c>
      <c r="H692" s="37" t="s">
        <v>288</v>
      </c>
      <c r="I692" s="308" t="s">
        <v>234</v>
      </c>
      <c r="J692" s="309">
        <v>5.8854844903630969E-5</v>
      </c>
      <c r="K692" s="27"/>
      <c r="L692" s="267"/>
      <c r="M692" s="308"/>
      <c r="N692" s="309"/>
      <c r="O692" s="269"/>
      <c r="P692" s="269"/>
      <c r="Q692" s="269"/>
      <c r="R692" s="269"/>
      <c r="S692" s="38"/>
      <c r="T692" s="38"/>
      <c r="U692" s="38"/>
      <c r="V692" s="38"/>
      <c r="W692" s="38"/>
      <c r="X692" s="38"/>
      <c r="Y692" s="38"/>
      <c r="Z692" s="38"/>
      <c r="AA692" s="210"/>
    </row>
    <row r="693" spans="1:27" ht="12.75" customHeight="1" x14ac:dyDescent="0.25">
      <c r="A693" s="50">
        <f t="shared" si="70"/>
        <v>688</v>
      </c>
      <c r="B693" s="51"/>
      <c r="C693" s="52" t="str">
        <f t="shared" si="74"/>
        <v>1GGENCEAIG</v>
      </c>
      <c r="D693" s="52"/>
      <c r="E693" s="53">
        <f>+'CALCULO TARIFAS CC '!$P$45</f>
        <v>0.73353343296286577</v>
      </c>
      <c r="F693" s="161">
        <f t="shared" si="75"/>
        <v>9.3618988552451781E-5</v>
      </c>
      <c r="G693" s="163">
        <f t="shared" si="73"/>
        <v>55.95</v>
      </c>
      <c r="H693" s="37" t="s">
        <v>288</v>
      </c>
      <c r="I693" s="308" t="s">
        <v>235</v>
      </c>
      <c r="J693" s="309">
        <v>9.3618988552451781E-5</v>
      </c>
      <c r="K693" s="27"/>
      <c r="L693" s="267"/>
      <c r="M693" s="308"/>
      <c r="N693" s="309"/>
      <c r="O693" s="269"/>
      <c r="P693" s="269"/>
      <c r="Q693" s="269"/>
      <c r="R693" s="269"/>
      <c r="S693" s="38"/>
      <c r="T693" s="38"/>
      <c r="U693" s="38"/>
      <c r="V693" s="38"/>
      <c r="W693" s="38"/>
      <c r="X693" s="38"/>
      <c r="Y693" s="38"/>
      <c r="Z693" s="38"/>
      <c r="AA693" s="210"/>
    </row>
    <row r="694" spans="1:27" ht="12.75" customHeight="1" x14ac:dyDescent="0.25">
      <c r="A694" s="50">
        <f t="shared" si="70"/>
        <v>689</v>
      </c>
      <c r="B694" s="51"/>
      <c r="C694" s="52" t="str">
        <f t="shared" si="74"/>
        <v>1GGENCINMC</v>
      </c>
      <c r="D694" s="52"/>
      <c r="E694" s="53">
        <f>+'CALCULO TARIFAS CC '!$P$45</f>
        <v>0.73353343296286577</v>
      </c>
      <c r="F694" s="161">
        <f t="shared" si="75"/>
        <v>3.1939056770126937E-5</v>
      </c>
      <c r="G694" s="163">
        <f t="shared" si="73"/>
        <v>19.09</v>
      </c>
      <c r="H694" s="37" t="s">
        <v>288</v>
      </c>
      <c r="I694" s="308" t="s">
        <v>236</v>
      </c>
      <c r="J694" s="309">
        <v>3.1939056770126937E-5</v>
      </c>
      <c r="K694" s="27"/>
      <c r="L694" s="267"/>
      <c r="M694" s="308"/>
      <c r="N694" s="309"/>
      <c r="O694" s="269"/>
      <c r="P694" s="269"/>
      <c r="Q694" s="269"/>
      <c r="R694" s="269"/>
      <c r="S694" s="38"/>
      <c r="T694" s="38"/>
      <c r="U694" s="38"/>
      <c r="V694" s="38"/>
      <c r="W694" s="38"/>
      <c r="X694" s="38"/>
      <c r="Y694" s="38"/>
      <c r="Z694" s="38"/>
      <c r="AA694" s="210"/>
    </row>
    <row r="695" spans="1:27" ht="12.75" customHeight="1" x14ac:dyDescent="0.25">
      <c r="A695" s="50">
        <f t="shared" si="70"/>
        <v>690</v>
      </c>
      <c r="B695" s="51"/>
      <c r="C695" s="52" t="str">
        <f t="shared" si="74"/>
        <v>1GGENCOELL</v>
      </c>
      <c r="D695" s="52"/>
      <c r="E695" s="53">
        <f>+'CALCULO TARIFAS CC '!$P$45</f>
        <v>0.73353343296286577</v>
      </c>
      <c r="F695" s="161">
        <f t="shared" si="75"/>
        <v>4.0815244160988322E-4</v>
      </c>
      <c r="G695" s="163">
        <f t="shared" si="73"/>
        <v>243.95</v>
      </c>
      <c r="H695" s="37" t="s">
        <v>288</v>
      </c>
      <c r="I695" s="308" t="s">
        <v>501</v>
      </c>
      <c r="J695" s="309">
        <v>4.0815244160988322E-4</v>
      </c>
      <c r="K695" s="27"/>
      <c r="L695" s="267"/>
      <c r="M695" s="308"/>
      <c r="N695" s="309"/>
      <c r="O695" s="269"/>
      <c r="P695" s="269"/>
      <c r="Q695" s="269"/>
      <c r="R695" s="269"/>
      <c r="S695" s="38"/>
      <c r="T695" s="38"/>
      <c r="U695" s="38"/>
      <c r="V695" s="38"/>
      <c r="W695" s="38"/>
      <c r="X695" s="38"/>
      <c r="Y695" s="38"/>
      <c r="Z695" s="38"/>
      <c r="AA695" s="210"/>
    </row>
    <row r="696" spans="1:27" ht="12.75" customHeight="1" x14ac:dyDescent="0.25">
      <c r="A696" s="50">
        <f t="shared" si="70"/>
        <v>691</v>
      </c>
      <c r="B696" s="51"/>
      <c r="C696" s="52" t="str">
        <f t="shared" si="74"/>
        <v>1GGENELEGE</v>
      </c>
      <c r="D696" s="52"/>
      <c r="E696" s="53">
        <f>+'CALCULO TARIFAS CC '!$P$45</f>
        <v>0.73353343296286577</v>
      </c>
      <c r="F696" s="161">
        <f t="shared" si="75"/>
        <v>1.8427819379992264E-5</v>
      </c>
      <c r="G696" s="163">
        <f t="shared" si="73"/>
        <v>11.01</v>
      </c>
      <c r="H696" s="37" t="s">
        <v>288</v>
      </c>
      <c r="I696" s="308" t="s">
        <v>237</v>
      </c>
      <c r="J696" s="309">
        <v>1.8427819379992264E-5</v>
      </c>
      <c r="K696" s="27"/>
      <c r="L696" s="267"/>
      <c r="M696" s="308"/>
      <c r="N696" s="309"/>
      <c r="O696" s="269"/>
      <c r="P696" s="269"/>
      <c r="Q696" s="269"/>
      <c r="R696" s="269"/>
      <c r="S696" s="38"/>
      <c r="T696" s="38"/>
      <c r="U696" s="38"/>
      <c r="V696" s="38"/>
      <c r="W696" s="38"/>
      <c r="X696" s="38"/>
      <c r="Y696" s="38"/>
      <c r="Z696" s="38"/>
      <c r="AA696" s="210"/>
    </row>
    <row r="697" spans="1:27" ht="12.75" customHeight="1" x14ac:dyDescent="0.25">
      <c r="A697" s="50">
        <f t="shared" si="70"/>
        <v>692</v>
      </c>
      <c r="B697" s="51"/>
      <c r="C697" s="52" t="str">
        <f t="shared" si="74"/>
        <v>1GGENEMGEE</v>
      </c>
      <c r="D697" s="52"/>
      <c r="E697" s="53">
        <f>+'CALCULO TARIFAS CC '!$P$45</f>
        <v>0.73353343296286577</v>
      </c>
      <c r="F697" s="161">
        <f t="shared" si="75"/>
        <v>7.864408110686763E-2</v>
      </c>
      <c r="G697" s="163">
        <f>+ROUND(E697*F697*$F$747,2)-0.01</f>
        <v>47004.549999999996</v>
      </c>
      <c r="H697" s="37" t="s">
        <v>288</v>
      </c>
      <c r="I697" s="308" t="s">
        <v>238</v>
      </c>
      <c r="J697" s="309">
        <v>7.864408110686763E-2</v>
      </c>
      <c r="K697" s="27"/>
      <c r="L697" s="267"/>
      <c r="M697" s="308"/>
      <c r="N697" s="309"/>
      <c r="O697" s="269"/>
      <c r="P697" s="269"/>
      <c r="Q697" s="269"/>
      <c r="R697" s="269"/>
      <c r="S697" s="38"/>
      <c r="T697" s="38"/>
      <c r="U697" s="38"/>
      <c r="V697" s="38"/>
      <c r="W697" s="38"/>
      <c r="X697" s="38"/>
      <c r="Y697" s="38"/>
      <c r="Z697" s="38"/>
      <c r="AA697" s="210"/>
    </row>
    <row r="698" spans="1:27" ht="12.75" customHeight="1" x14ac:dyDescent="0.25">
      <c r="A698" s="50">
        <f t="shared" si="70"/>
        <v>693</v>
      </c>
      <c r="B698" s="51"/>
      <c r="C698" s="52" t="str">
        <f t="shared" si="74"/>
        <v>1GGENENDEO</v>
      </c>
      <c r="D698" s="52"/>
      <c r="E698" s="53">
        <f>+'CALCULO TARIFAS CC '!$P$45</f>
        <v>0.73353343296286577</v>
      </c>
      <c r="F698" s="161">
        <f t="shared" si="75"/>
        <v>2.6269546999701799E-5</v>
      </c>
      <c r="G698" s="163">
        <f t="shared" si="73"/>
        <v>15.7</v>
      </c>
      <c r="H698" s="37" t="s">
        <v>288</v>
      </c>
      <c r="I698" s="308" t="s">
        <v>239</v>
      </c>
      <c r="J698" s="309">
        <v>2.6269546999701799E-5</v>
      </c>
      <c r="K698" s="27"/>
      <c r="L698" s="267"/>
      <c r="M698" s="308"/>
      <c r="N698" s="309"/>
      <c r="O698" s="269"/>
      <c r="P698" s="269"/>
      <c r="Q698" s="269"/>
      <c r="R698" s="269"/>
      <c r="S698" s="38"/>
      <c r="T698" s="38"/>
      <c r="U698" s="38"/>
      <c r="V698" s="38"/>
      <c r="W698" s="38"/>
      <c r="X698" s="38"/>
      <c r="Y698" s="38"/>
      <c r="Z698" s="38"/>
      <c r="AA698" s="210"/>
    </row>
    <row r="699" spans="1:27" ht="12.75" customHeight="1" x14ac:dyDescent="0.25">
      <c r="A699" s="50">
        <f t="shared" si="70"/>
        <v>694</v>
      </c>
      <c r="B699" s="51"/>
      <c r="C699" s="52" t="str">
        <f t="shared" si="74"/>
        <v>1GGENENLIG</v>
      </c>
      <c r="D699" s="52"/>
      <c r="E699" s="53">
        <f>+'CALCULO TARIFAS CC '!$P$45</f>
        <v>0.73353343296286577</v>
      </c>
      <c r="F699" s="161">
        <f t="shared" si="75"/>
        <v>1.3479701881183613E-6</v>
      </c>
      <c r="G699" s="163">
        <f t="shared" si="73"/>
        <v>0.81</v>
      </c>
      <c r="H699" s="37" t="s">
        <v>288</v>
      </c>
      <c r="I699" s="308" t="s">
        <v>240</v>
      </c>
      <c r="J699" s="309">
        <v>1.3479701881183613E-6</v>
      </c>
      <c r="K699" s="27"/>
      <c r="L699" s="267"/>
      <c r="M699" s="308"/>
      <c r="N699" s="309"/>
      <c r="O699" s="269"/>
      <c r="P699" s="269"/>
      <c r="Q699" s="269"/>
      <c r="R699" s="269"/>
      <c r="S699" s="38"/>
      <c r="T699" s="38"/>
      <c r="U699" s="38"/>
      <c r="V699" s="38"/>
      <c r="W699" s="38"/>
      <c r="X699" s="38"/>
      <c r="Y699" s="38"/>
      <c r="Z699" s="38"/>
      <c r="AA699" s="210"/>
    </row>
    <row r="700" spans="1:27" ht="12.75" customHeight="1" x14ac:dyDescent="0.25">
      <c r="A700" s="50">
        <f t="shared" si="70"/>
        <v>695</v>
      </c>
      <c r="B700" s="51"/>
      <c r="C700" s="52" t="str">
        <f t="shared" si="74"/>
        <v>1GGENESAES</v>
      </c>
      <c r="D700" s="52"/>
      <c r="E700" s="53">
        <f>+'CALCULO TARIFAS CC '!$P$45</f>
        <v>0.73353343296286577</v>
      </c>
      <c r="F700" s="161">
        <f t="shared" si="75"/>
        <v>2.9252368346477842E-4</v>
      </c>
      <c r="G700" s="163">
        <f t="shared" si="73"/>
        <v>174.84</v>
      </c>
      <c r="H700" s="37" t="s">
        <v>288</v>
      </c>
      <c r="I700" s="308" t="s">
        <v>780</v>
      </c>
      <c r="J700" s="309">
        <v>2.9252368346477842E-4</v>
      </c>
      <c r="K700" s="27"/>
      <c r="L700" s="267"/>
      <c r="M700" s="308"/>
      <c r="N700" s="309"/>
      <c r="O700" s="269"/>
      <c r="P700" s="269"/>
      <c r="Q700" s="269"/>
      <c r="R700" s="269"/>
      <c r="S700" s="38"/>
      <c r="T700" s="38"/>
      <c r="U700" s="38"/>
      <c r="V700" s="38"/>
      <c r="W700" s="38"/>
      <c r="X700" s="38"/>
      <c r="Y700" s="38"/>
      <c r="Z700" s="38"/>
      <c r="AA700" s="210"/>
    </row>
    <row r="701" spans="1:27" ht="12.75" customHeight="1" x14ac:dyDescent="0.25">
      <c r="A701" s="50">
        <f t="shared" si="70"/>
        <v>696</v>
      </c>
      <c r="B701" s="51"/>
      <c r="C701" s="52" t="str">
        <f t="shared" si="74"/>
        <v>1GGENESIES</v>
      </c>
      <c r="D701" s="52"/>
      <c r="E701" s="53">
        <f>+'CALCULO TARIFAS CC '!$P$45</f>
        <v>0.73353343296286577</v>
      </c>
      <c r="F701" s="161">
        <f t="shared" si="75"/>
        <v>1.3864901677793957E-4</v>
      </c>
      <c r="G701" s="163">
        <f t="shared" si="73"/>
        <v>82.87</v>
      </c>
      <c r="H701" s="37" t="s">
        <v>288</v>
      </c>
      <c r="I701" s="308" t="s">
        <v>427</v>
      </c>
      <c r="J701" s="309">
        <v>1.3864901677793957E-4</v>
      </c>
      <c r="K701" s="27"/>
      <c r="L701" s="267"/>
      <c r="M701" s="308"/>
      <c r="N701" s="309"/>
      <c r="O701" s="269"/>
      <c r="P701" s="269"/>
      <c r="Q701" s="269"/>
      <c r="R701" s="269"/>
      <c r="S701" s="38"/>
      <c r="T701" s="38"/>
      <c r="U701" s="38"/>
      <c r="V701" s="38"/>
      <c r="W701" s="38"/>
      <c r="X701" s="38"/>
      <c r="Y701" s="38"/>
      <c r="Z701" s="38"/>
      <c r="AA701" s="210"/>
    </row>
    <row r="702" spans="1:27" ht="12.75" customHeight="1" x14ac:dyDescent="0.25">
      <c r="A702" s="50">
        <f t="shared" si="70"/>
        <v>697</v>
      </c>
      <c r="B702" s="51"/>
      <c r="C702" s="52" t="str">
        <f t="shared" si="74"/>
        <v>1GGENGEELN</v>
      </c>
      <c r="D702" s="52"/>
      <c r="E702" s="53">
        <f>+'CALCULO TARIFAS CC '!$P$45</f>
        <v>0.73353343296286577</v>
      </c>
      <c r="F702" s="161">
        <f t="shared" si="75"/>
        <v>1.0283402383374079E-4</v>
      </c>
      <c r="G702" s="163">
        <f t="shared" si="73"/>
        <v>61.46</v>
      </c>
      <c r="H702" s="37" t="s">
        <v>288</v>
      </c>
      <c r="I702" s="308" t="s">
        <v>241</v>
      </c>
      <c r="J702" s="309">
        <v>1.0283402383374079E-4</v>
      </c>
      <c r="K702" s="27"/>
      <c r="L702" s="267"/>
      <c r="M702" s="308"/>
      <c r="N702" s="309"/>
      <c r="O702" s="269"/>
      <c r="P702" s="269"/>
      <c r="Q702" s="269"/>
      <c r="R702" s="269"/>
      <c r="S702" s="38"/>
      <c r="T702" s="38"/>
      <c r="U702" s="38"/>
      <c r="V702" s="38"/>
      <c r="W702" s="38"/>
      <c r="X702" s="38"/>
      <c r="Y702" s="38"/>
      <c r="Z702" s="38"/>
      <c r="AA702" s="210"/>
    </row>
    <row r="703" spans="1:27" ht="12.75" customHeight="1" x14ac:dyDescent="0.25">
      <c r="A703" s="50">
        <f t="shared" si="70"/>
        <v>698</v>
      </c>
      <c r="B703" s="51"/>
      <c r="C703" s="52" t="str">
        <f t="shared" si="74"/>
        <v>1GGENGENAT</v>
      </c>
      <c r="D703" s="52"/>
      <c r="E703" s="53">
        <f>+'CALCULO TARIFAS CC '!$P$45</f>
        <v>0.73353343296286577</v>
      </c>
      <c r="F703" s="161">
        <f t="shared" si="75"/>
        <v>1.6085322818968591E-5</v>
      </c>
      <c r="G703" s="163">
        <f t="shared" si="73"/>
        <v>9.61</v>
      </c>
      <c r="H703" s="37" t="s">
        <v>288</v>
      </c>
      <c r="I703" s="308" t="s">
        <v>242</v>
      </c>
      <c r="J703" s="309">
        <v>1.6085322818968591E-5</v>
      </c>
      <c r="K703" s="27"/>
      <c r="L703" s="267"/>
      <c r="M703" s="308"/>
      <c r="N703" s="309"/>
      <c r="O703" s="269"/>
      <c r="P703" s="269"/>
      <c r="Q703" s="269"/>
      <c r="R703" s="269"/>
      <c r="S703" s="38"/>
      <c r="T703" s="38"/>
      <c r="U703" s="38"/>
      <c r="V703" s="38"/>
      <c r="W703" s="38"/>
      <c r="X703" s="38"/>
      <c r="Y703" s="38"/>
      <c r="Z703" s="38"/>
      <c r="AA703" s="210"/>
    </row>
    <row r="704" spans="1:27" ht="12.75" customHeight="1" x14ac:dyDescent="0.25">
      <c r="A704" s="50">
        <f t="shared" si="70"/>
        <v>699</v>
      </c>
      <c r="B704" s="51"/>
      <c r="C704" s="52" t="str">
        <f t="shared" si="74"/>
        <v>1GGENGENEP</v>
      </c>
      <c r="D704" s="52"/>
      <c r="E704" s="53">
        <f>+'CALCULO TARIFAS CC '!$P$45</f>
        <v>0.73353343296286577</v>
      </c>
      <c r="F704" s="161">
        <f t="shared" si="75"/>
        <v>7.7653628356288008E-7</v>
      </c>
      <c r="G704" s="163">
        <f t="shared" si="73"/>
        <v>0.46</v>
      </c>
      <c r="H704" s="37" t="s">
        <v>288</v>
      </c>
      <c r="I704" s="308" t="s">
        <v>820</v>
      </c>
      <c r="J704" s="309">
        <v>7.7653628356288008E-7</v>
      </c>
      <c r="K704" s="27"/>
      <c r="L704" s="267"/>
      <c r="M704" s="308"/>
      <c r="N704" s="309"/>
      <c r="O704" s="269"/>
      <c r="P704" s="269"/>
      <c r="Q704" s="269"/>
      <c r="R704" s="269"/>
      <c r="S704" s="38"/>
      <c r="T704" s="38"/>
      <c r="U704" s="38"/>
      <c r="V704" s="38"/>
      <c r="W704" s="38"/>
      <c r="X704" s="38"/>
      <c r="Y704" s="38"/>
      <c r="Z704" s="38"/>
      <c r="AA704" s="210"/>
    </row>
    <row r="705" spans="1:27" ht="12.75" customHeight="1" x14ac:dyDescent="0.25">
      <c r="A705" s="50">
        <f t="shared" si="70"/>
        <v>700</v>
      </c>
      <c r="B705" s="51"/>
      <c r="C705" s="52" t="str">
        <f t="shared" si="74"/>
        <v>1GGENGENES</v>
      </c>
      <c r="D705" s="52"/>
      <c r="E705" s="53">
        <f>+'CALCULO TARIFAS CC '!$P$45</f>
        <v>0.73353343296286577</v>
      </c>
      <c r="F705" s="161">
        <f t="shared" si="75"/>
        <v>4.6630186881557631E-4</v>
      </c>
      <c r="G705" s="163">
        <f t="shared" si="73"/>
        <v>278.7</v>
      </c>
      <c r="H705" s="37" t="s">
        <v>288</v>
      </c>
      <c r="I705" s="308" t="s">
        <v>243</v>
      </c>
      <c r="J705" s="309">
        <v>4.6630186881557631E-4</v>
      </c>
      <c r="K705" s="27"/>
      <c r="L705" s="267"/>
      <c r="M705" s="308"/>
      <c r="N705" s="309"/>
      <c r="O705" s="269"/>
      <c r="P705" s="269"/>
      <c r="Q705" s="269"/>
      <c r="R705" s="269"/>
      <c r="S705" s="38"/>
      <c r="T705" s="38"/>
      <c r="U705" s="38"/>
      <c r="V705" s="38"/>
      <c r="W705" s="38"/>
      <c r="X705" s="38"/>
      <c r="Y705" s="38"/>
      <c r="Z705" s="38"/>
      <c r="AA705" s="210"/>
    </row>
    <row r="706" spans="1:27" ht="12.75" customHeight="1" x14ac:dyDescent="0.25">
      <c r="A706" s="50">
        <f t="shared" si="70"/>
        <v>701</v>
      </c>
      <c r="B706" s="51"/>
      <c r="C706" s="52" t="str">
        <f t="shared" si="74"/>
        <v>1GGENGENOC</v>
      </c>
      <c r="D706" s="52"/>
      <c r="E706" s="53">
        <f>+'CALCULO TARIFAS CC '!$P$45</f>
        <v>0.73353343296286577</v>
      </c>
      <c r="F706" s="161">
        <f t="shared" si="75"/>
        <v>8.9941162511248329E-6</v>
      </c>
      <c r="G706" s="163">
        <f t="shared" si="73"/>
        <v>5.38</v>
      </c>
      <c r="H706" s="37" t="s">
        <v>288</v>
      </c>
      <c r="I706" s="308" t="s">
        <v>244</v>
      </c>
      <c r="J706" s="309">
        <v>8.9941162511248329E-6</v>
      </c>
      <c r="K706" s="27"/>
      <c r="L706" s="267"/>
      <c r="M706" s="308"/>
      <c r="N706" s="309"/>
      <c r="O706" s="269"/>
      <c r="P706" s="269"/>
      <c r="Q706" s="269"/>
      <c r="R706" s="269"/>
      <c r="S706" s="38"/>
      <c r="T706" s="38"/>
      <c r="U706" s="38"/>
      <c r="V706" s="38"/>
      <c r="W706" s="38"/>
      <c r="X706" s="38"/>
      <c r="Y706" s="38"/>
      <c r="Z706" s="38"/>
      <c r="AA706" s="210"/>
    </row>
    <row r="707" spans="1:27" ht="12.75" customHeight="1" x14ac:dyDescent="0.25">
      <c r="A707" s="50">
        <f t="shared" si="70"/>
        <v>702</v>
      </c>
      <c r="B707" s="51"/>
      <c r="C707" s="52" t="str">
        <f t="shared" si="74"/>
        <v>1GGENGRGEO</v>
      </c>
      <c r="D707" s="52"/>
      <c r="E707" s="53">
        <f>+'CALCULO TARIFAS CC '!$P$45</f>
        <v>0.73353343296286577</v>
      </c>
      <c r="F707" s="161">
        <f t="shared" si="75"/>
        <v>4.9821192665226488E-5</v>
      </c>
      <c r="G707" s="163">
        <f t="shared" si="73"/>
        <v>29.78</v>
      </c>
      <c r="H707" s="37" t="s">
        <v>288</v>
      </c>
      <c r="I707" s="308" t="s">
        <v>245</v>
      </c>
      <c r="J707" s="309">
        <v>4.9821192665226488E-5</v>
      </c>
      <c r="K707" s="27"/>
      <c r="L707" s="267"/>
      <c r="M707" s="308"/>
      <c r="N707" s="309"/>
      <c r="O707" s="269"/>
      <c r="P707" s="269"/>
      <c r="Q707" s="269"/>
      <c r="R707" s="269"/>
      <c r="S707" s="38"/>
      <c r="T707" s="38"/>
      <c r="U707" s="38"/>
      <c r="V707" s="38"/>
      <c r="W707" s="38"/>
      <c r="X707" s="38"/>
      <c r="Y707" s="38"/>
      <c r="Z707" s="38"/>
      <c r="AA707" s="210"/>
    </row>
    <row r="708" spans="1:27" ht="12.75" customHeight="1" x14ac:dyDescent="0.25">
      <c r="A708" s="50">
        <f t="shared" si="70"/>
        <v>703</v>
      </c>
      <c r="B708" s="51"/>
      <c r="C708" s="52" t="str">
        <f t="shared" si="74"/>
        <v>1GGENHIDCA</v>
      </c>
      <c r="D708" s="52"/>
      <c r="E708" s="53">
        <f>+'CALCULO TARIFAS CC '!$P$45</f>
        <v>0.73353343296286577</v>
      </c>
      <c r="F708" s="161">
        <f t="shared" si="75"/>
        <v>5.9564947076198223E-6</v>
      </c>
      <c r="G708" s="163">
        <f t="shared" si="73"/>
        <v>3.56</v>
      </c>
      <c r="H708" s="37" t="s">
        <v>288</v>
      </c>
      <c r="I708" s="308" t="s">
        <v>473</v>
      </c>
      <c r="J708" s="309">
        <v>5.9564947076198223E-6</v>
      </c>
      <c r="K708" s="27"/>
      <c r="L708" s="267"/>
      <c r="M708" s="308"/>
      <c r="N708" s="309"/>
      <c r="O708" s="269"/>
      <c r="P708" s="269"/>
      <c r="Q708" s="269"/>
      <c r="R708" s="269"/>
      <c r="S708" s="38"/>
      <c r="T708" s="38"/>
      <c r="U708" s="38"/>
      <c r="V708" s="38"/>
      <c r="W708" s="38"/>
      <c r="X708" s="38"/>
      <c r="Y708" s="38"/>
      <c r="Z708" s="38"/>
      <c r="AA708" s="210"/>
    </row>
    <row r="709" spans="1:27" ht="12.75" customHeight="1" x14ac:dyDescent="0.25">
      <c r="A709" s="50">
        <f t="shared" si="70"/>
        <v>704</v>
      </c>
      <c r="B709" s="51"/>
      <c r="C709" s="52" t="str">
        <f t="shared" si="74"/>
        <v>1GGENHIDCO</v>
      </c>
      <c r="D709" s="52"/>
      <c r="E709" s="53">
        <f>+'CALCULO TARIFAS CC '!$P$45</f>
        <v>0.73353343296286577</v>
      </c>
      <c r="F709" s="161">
        <f t="shared" si="75"/>
        <v>2.5643433720492279E-5</v>
      </c>
      <c r="G709" s="163">
        <f t="shared" si="73"/>
        <v>15.33</v>
      </c>
      <c r="H709" s="37" t="s">
        <v>288</v>
      </c>
      <c r="I709" s="308" t="s">
        <v>246</v>
      </c>
      <c r="J709" s="309">
        <v>2.5643433720492279E-5</v>
      </c>
      <c r="K709" s="27"/>
      <c r="L709" s="267"/>
      <c r="M709" s="308"/>
      <c r="N709" s="309"/>
      <c r="O709" s="269"/>
      <c r="P709" s="269"/>
      <c r="Q709" s="269"/>
      <c r="R709" s="269"/>
      <c r="S709" s="38"/>
      <c r="T709" s="38"/>
      <c r="U709" s="38"/>
      <c r="V709" s="38"/>
      <c r="W709" s="38"/>
      <c r="X709" s="38"/>
      <c r="Y709" s="38"/>
      <c r="Z709" s="38"/>
      <c r="AA709" s="210"/>
    </row>
    <row r="710" spans="1:27" ht="12.75" customHeight="1" x14ac:dyDescent="0.25">
      <c r="A710" s="50">
        <f t="shared" si="70"/>
        <v>705</v>
      </c>
      <c r="B710" s="51"/>
      <c r="C710" s="52" t="str">
        <f t="shared" si="74"/>
        <v>1GGENHIDRA</v>
      </c>
      <c r="D710" s="52"/>
      <c r="E710" s="53">
        <f>+'CALCULO TARIFAS CC '!$P$45</f>
        <v>0.73353343296286577</v>
      </c>
      <c r="F710" s="161">
        <f t="shared" si="75"/>
        <v>4.0920649088673774E-7</v>
      </c>
      <c r="G710" s="163">
        <f t="shared" si="73"/>
        <v>0.24</v>
      </c>
      <c r="H710" s="37" t="s">
        <v>288</v>
      </c>
      <c r="I710" s="308" t="s">
        <v>821</v>
      </c>
      <c r="J710" s="309">
        <v>4.0920649088673774E-7</v>
      </c>
      <c r="K710" s="27"/>
      <c r="L710" s="267"/>
      <c r="M710" s="308"/>
      <c r="N710" s="309"/>
      <c r="O710" s="269"/>
      <c r="P710" s="269"/>
      <c r="Q710" s="269"/>
      <c r="R710" s="269"/>
      <c r="S710" s="38"/>
      <c r="T710" s="38"/>
      <c r="U710" s="38"/>
      <c r="V710" s="38"/>
      <c r="W710" s="38"/>
      <c r="X710" s="38"/>
      <c r="Y710" s="38"/>
      <c r="Z710" s="38"/>
      <c r="AA710" s="210"/>
    </row>
    <row r="711" spans="1:27" ht="12.75" customHeight="1" x14ac:dyDescent="0.25">
      <c r="A711" s="50">
        <f t="shared" si="70"/>
        <v>706</v>
      </c>
      <c r="B711" s="51"/>
      <c r="C711" s="52" t="str">
        <f t="shared" si="74"/>
        <v>1GGENHIHIJ</v>
      </c>
      <c r="D711" s="52"/>
      <c r="E711" s="53">
        <f>+'CALCULO TARIFAS CC '!$P$45</f>
        <v>0.73353343296286577</v>
      </c>
      <c r="F711" s="161">
        <f t="shared" si="75"/>
        <v>1.5039687120196723E-5</v>
      </c>
      <c r="G711" s="163">
        <f t="shared" ref="G711:G740" si="76">+ROUND(E711*F711*$F$747,2)</f>
        <v>8.99</v>
      </c>
      <c r="H711" s="37" t="s">
        <v>288</v>
      </c>
      <c r="I711" s="308" t="s">
        <v>247</v>
      </c>
      <c r="J711" s="309">
        <v>1.5039687120196723E-5</v>
      </c>
      <c r="K711" s="27"/>
      <c r="L711" s="267"/>
      <c r="M711" s="308"/>
      <c r="N711" s="309"/>
      <c r="O711" s="269"/>
      <c r="P711" s="269"/>
      <c r="Q711" s="269"/>
      <c r="R711" s="269"/>
      <c r="S711" s="38"/>
      <c r="T711" s="38"/>
      <c r="U711" s="38"/>
      <c r="V711" s="38"/>
      <c r="W711" s="38"/>
      <c r="X711" s="38"/>
      <c r="Y711" s="38"/>
      <c r="Z711" s="38"/>
      <c r="AA711" s="210"/>
    </row>
    <row r="712" spans="1:27" ht="12.75" customHeight="1" x14ac:dyDescent="0.25">
      <c r="A712" s="50">
        <f t="shared" si="70"/>
        <v>707</v>
      </c>
      <c r="B712" s="51"/>
      <c r="C712" s="52" t="str">
        <f t="shared" si="74"/>
        <v>1GGENHIVIA</v>
      </c>
      <c r="D712" s="52"/>
      <c r="E712" s="53">
        <f>+'CALCULO TARIFAS CC '!$P$45</f>
        <v>0.73353343296286577</v>
      </c>
      <c r="F712" s="161">
        <f t="shared" si="75"/>
        <v>7.4364195310787481E-6</v>
      </c>
      <c r="G712" s="163">
        <f t="shared" si="76"/>
        <v>4.4400000000000004</v>
      </c>
      <c r="H712" s="37" t="s">
        <v>288</v>
      </c>
      <c r="I712" s="308" t="s">
        <v>248</v>
      </c>
      <c r="J712" s="309">
        <v>7.4364195310787481E-6</v>
      </c>
      <c r="K712" s="27"/>
      <c r="L712" s="267"/>
      <c r="M712" s="308"/>
      <c r="N712" s="309"/>
      <c r="O712" s="269"/>
      <c r="P712" s="269"/>
      <c r="Q712" s="269"/>
      <c r="R712" s="269"/>
      <c r="S712" s="38"/>
      <c r="T712" s="38"/>
      <c r="U712" s="38"/>
      <c r="V712" s="38"/>
      <c r="W712" s="38"/>
      <c r="X712" s="38"/>
      <c r="Y712" s="38"/>
      <c r="Z712" s="38"/>
      <c r="AA712" s="210"/>
    </row>
    <row r="713" spans="1:27" ht="12.75" customHeight="1" x14ac:dyDescent="0.25">
      <c r="A713" s="50">
        <f t="shared" si="70"/>
        <v>708</v>
      </c>
      <c r="B713" s="51"/>
      <c r="C713" s="52" t="str">
        <f t="shared" si="74"/>
        <v>1GGENHIXAC</v>
      </c>
      <c r="D713" s="52"/>
      <c r="E713" s="53">
        <f>+'CALCULO TARIFAS CC '!$P$45</f>
        <v>0.73353343296286577</v>
      </c>
      <c r="F713" s="161">
        <f t="shared" si="75"/>
        <v>1.9920204708906276E-4</v>
      </c>
      <c r="G713" s="163">
        <f t="shared" si="76"/>
        <v>119.06</v>
      </c>
      <c r="H713" s="37" t="s">
        <v>288</v>
      </c>
      <c r="I713" s="308" t="s">
        <v>249</v>
      </c>
      <c r="J713" s="309">
        <v>1.9920204708906276E-4</v>
      </c>
      <c r="K713" s="27"/>
      <c r="L713" s="267"/>
      <c r="M713" s="308"/>
      <c r="N713" s="309"/>
      <c r="O713" s="269"/>
      <c r="P713" s="269"/>
      <c r="Q713" s="269"/>
      <c r="R713" s="269"/>
      <c r="S713" s="38"/>
      <c r="T713" s="38"/>
      <c r="U713" s="38"/>
      <c r="V713" s="38"/>
      <c r="W713" s="38"/>
      <c r="X713" s="38"/>
      <c r="Y713" s="38"/>
      <c r="Z713" s="38"/>
      <c r="AA713" s="210"/>
    </row>
    <row r="714" spans="1:27" ht="12.75" customHeight="1" x14ac:dyDescent="0.25">
      <c r="A714" s="50">
        <f t="shared" si="70"/>
        <v>709</v>
      </c>
      <c r="B714" s="51"/>
      <c r="C714" s="52" t="str">
        <f t="shared" si="74"/>
        <v>1GGENINGMA</v>
      </c>
      <c r="D714" s="52"/>
      <c r="E714" s="53">
        <f>+'CALCULO TARIFAS CC '!$P$45</f>
        <v>0.73353343296286577</v>
      </c>
      <c r="F714" s="161">
        <f t="shared" si="75"/>
        <v>7.4243927591361575E-4</v>
      </c>
      <c r="G714" s="163">
        <f t="shared" si="76"/>
        <v>443.75</v>
      </c>
      <c r="H714" s="37" t="s">
        <v>288</v>
      </c>
      <c r="I714" s="308" t="s">
        <v>250</v>
      </c>
      <c r="J714" s="309">
        <v>7.4243927591361575E-4</v>
      </c>
      <c r="K714" s="27"/>
      <c r="L714" s="267"/>
      <c r="M714" s="308"/>
      <c r="N714" s="309"/>
      <c r="O714" s="269"/>
      <c r="P714" s="269"/>
      <c r="Q714" s="269"/>
      <c r="R714" s="269"/>
      <c r="S714" s="38"/>
      <c r="T714" s="38"/>
      <c r="U714" s="38"/>
      <c r="V714" s="38"/>
      <c r="W714" s="38"/>
      <c r="X714" s="38"/>
      <c r="Y714" s="38"/>
      <c r="Z714" s="38"/>
      <c r="AA714" s="210"/>
    </row>
    <row r="715" spans="1:27" ht="12.75" customHeight="1" x14ac:dyDescent="0.25">
      <c r="A715" s="50">
        <f t="shared" si="70"/>
        <v>710</v>
      </c>
      <c r="B715" s="51"/>
      <c r="C715" s="52" t="str">
        <f t="shared" si="74"/>
        <v>1GGENINGSD</v>
      </c>
      <c r="D715" s="52"/>
      <c r="E715" s="53">
        <f>+'CALCULO TARIFAS CC '!$P$45</f>
        <v>0.73353343296286577</v>
      </c>
      <c r="F715" s="161">
        <f t="shared" si="75"/>
        <v>3.6976970475240852E-5</v>
      </c>
      <c r="G715" s="163">
        <f t="shared" si="76"/>
        <v>22.1</v>
      </c>
      <c r="H715" s="37" t="s">
        <v>288</v>
      </c>
      <c r="I715" s="308" t="s">
        <v>822</v>
      </c>
      <c r="J715" s="309">
        <v>3.6976970475240852E-5</v>
      </c>
      <c r="K715" s="27"/>
      <c r="L715" s="267"/>
      <c r="M715" s="308"/>
      <c r="N715" s="309"/>
      <c r="O715" s="269"/>
      <c r="P715" s="269"/>
      <c r="Q715" s="269"/>
      <c r="R715" s="269"/>
      <c r="S715" s="38"/>
      <c r="T715" s="38"/>
      <c r="U715" s="38"/>
      <c r="V715" s="38"/>
      <c r="W715" s="38"/>
      <c r="X715" s="38"/>
      <c r="Y715" s="38"/>
      <c r="Z715" s="38"/>
      <c r="AA715" s="210"/>
    </row>
    <row r="716" spans="1:27" ht="12.75" customHeight="1" x14ac:dyDescent="0.25">
      <c r="A716" s="50">
        <f t="shared" si="70"/>
        <v>711</v>
      </c>
      <c r="B716" s="51"/>
      <c r="C716" s="52" t="str">
        <f t="shared" si="74"/>
        <v>1GGENINPAG</v>
      </c>
      <c r="D716" s="52"/>
      <c r="E716" s="53">
        <f>+'CALCULO TARIFAS CC '!$P$45</f>
        <v>0.73353343296286577</v>
      </c>
      <c r="F716" s="161">
        <f t="shared" si="75"/>
        <v>7.8869191378037475E-5</v>
      </c>
      <c r="G716" s="163">
        <f t="shared" si="76"/>
        <v>47.14</v>
      </c>
      <c r="H716" s="37" t="s">
        <v>288</v>
      </c>
      <c r="I716" s="308" t="s">
        <v>666</v>
      </c>
      <c r="J716" s="309">
        <v>7.8869191378037475E-5</v>
      </c>
      <c r="K716" s="27"/>
      <c r="L716" s="267"/>
      <c r="M716" s="308"/>
      <c r="N716" s="309"/>
      <c r="O716" s="269"/>
      <c r="P716" s="269"/>
      <c r="Q716" s="269"/>
      <c r="R716" s="269"/>
      <c r="S716" s="38"/>
      <c r="T716" s="38"/>
      <c r="U716" s="38"/>
      <c r="V716" s="38"/>
      <c r="W716" s="38"/>
      <c r="X716" s="38"/>
      <c r="Y716" s="38"/>
      <c r="Z716" s="38"/>
      <c r="AA716" s="210"/>
    </row>
    <row r="717" spans="1:27" ht="12.75" customHeight="1" x14ac:dyDescent="0.25">
      <c r="A717" s="50">
        <f t="shared" si="70"/>
        <v>712</v>
      </c>
      <c r="B717" s="51"/>
      <c r="C717" s="52" t="str">
        <f t="shared" si="74"/>
        <v>1GGENINVPA</v>
      </c>
      <c r="D717" s="52"/>
      <c r="E717" s="53">
        <f>+'CALCULO TARIFAS CC '!$P$45</f>
        <v>0.73353343296286577</v>
      </c>
      <c r="F717" s="161">
        <f t="shared" si="75"/>
        <v>5.1847682030280539E-5</v>
      </c>
      <c r="G717" s="163">
        <f t="shared" si="76"/>
        <v>30.99</v>
      </c>
      <c r="H717" s="37" t="s">
        <v>288</v>
      </c>
      <c r="I717" s="308" t="s">
        <v>846</v>
      </c>
      <c r="J717" s="309">
        <v>5.1847682030280539E-5</v>
      </c>
      <c r="K717" s="27"/>
      <c r="L717" s="267"/>
      <c r="M717" s="308"/>
      <c r="N717" s="309"/>
      <c r="O717" s="269"/>
      <c r="P717" s="269"/>
      <c r="Q717" s="269"/>
      <c r="R717" s="269"/>
      <c r="S717" s="38"/>
      <c r="T717" s="38"/>
      <c r="U717" s="38"/>
      <c r="V717" s="38"/>
      <c r="W717" s="38"/>
      <c r="X717" s="38"/>
      <c r="Y717" s="38"/>
      <c r="Z717" s="38"/>
      <c r="AA717" s="210"/>
    </row>
    <row r="718" spans="1:27" ht="12.75" customHeight="1" x14ac:dyDescent="0.25">
      <c r="A718" s="50">
        <f t="shared" si="70"/>
        <v>713</v>
      </c>
      <c r="B718" s="51"/>
      <c r="C718" s="52" t="str">
        <f t="shared" si="74"/>
        <v>1GGENLUFEG</v>
      </c>
      <c r="D718" s="52"/>
      <c r="E718" s="53">
        <f>+'CALCULO TARIFAS CC '!$P$45</f>
        <v>0.73353343296286577</v>
      </c>
      <c r="F718" s="161">
        <f t="shared" si="75"/>
        <v>1.6413475275666491E-4</v>
      </c>
      <c r="G718" s="163">
        <f t="shared" si="76"/>
        <v>98.1</v>
      </c>
      <c r="H718" s="37" t="s">
        <v>288</v>
      </c>
      <c r="I718" s="308" t="s">
        <v>251</v>
      </c>
      <c r="J718" s="309">
        <v>1.6413475275666491E-4</v>
      </c>
      <c r="K718" s="27"/>
      <c r="L718" s="267"/>
      <c r="M718" s="308"/>
      <c r="N718" s="309"/>
      <c r="O718" s="269"/>
      <c r="P718" s="269"/>
      <c r="Q718" s="269"/>
      <c r="R718" s="269"/>
      <c r="S718" s="38"/>
      <c r="T718" s="38"/>
      <c r="U718" s="38"/>
      <c r="V718" s="38"/>
      <c r="W718" s="38"/>
      <c r="X718" s="38"/>
      <c r="Y718" s="38"/>
      <c r="Z718" s="38"/>
      <c r="AA718" s="210"/>
    </row>
    <row r="719" spans="1:27" ht="12.75" customHeight="1" x14ac:dyDescent="0.25">
      <c r="A719" s="50">
        <f t="shared" si="70"/>
        <v>714</v>
      </c>
      <c r="B719" s="51"/>
      <c r="C719" s="52" t="str">
        <f t="shared" si="74"/>
        <v>1GGENOEGYC</v>
      </c>
      <c r="D719" s="52"/>
      <c r="E719" s="53">
        <f>+'CALCULO TARIFAS CC '!$P$45</f>
        <v>0.73353343296286577</v>
      </c>
      <c r="F719" s="161">
        <f t="shared" si="75"/>
        <v>1.092398590732355E-3</v>
      </c>
      <c r="G719" s="163">
        <f t="shared" si="76"/>
        <v>652.91</v>
      </c>
      <c r="H719" s="37" t="s">
        <v>288</v>
      </c>
      <c r="I719" s="308" t="s">
        <v>252</v>
      </c>
      <c r="J719" s="309">
        <v>1.092398590732355E-3</v>
      </c>
      <c r="K719" s="27"/>
      <c r="L719" s="267"/>
      <c r="M719" s="308"/>
      <c r="N719" s="309"/>
      <c r="O719" s="269"/>
      <c r="P719" s="269"/>
      <c r="Q719" s="269"/>
      <c r="R719" s="269"/>
      <c r="S719" s="38"/>
      <c r="T719" s="38"/>
      <c r="U719" s="38"/>
      <c r="V719" s="38"/>
      <c r="W719" s="38"/>
      <c r="X719" s="38"/>
      <c r="Y719" s="38"/>
      <c r="Z719" s="38"/>
      <c r="AA719" s="210"/>
    </row>
    <row r="720" spans="1:27" ht="12.75" customHeight="1" x14ac:dyDescent="0.25">
      <c r="A720" s="50">
        <f t="shared" si="70"/>
        <v>715</v>
      </c>
      <c r="B720" s="51"/>
      <c r="C720" s="52" t="str">
        <f t="shared" si="74"/>
        <v>1GGENOXECO</v>
      </c>
      <c r="D720" s="52"/>
      <c r="E720" s="53">
        <f>+'CALCULO TARIFAS CC '!$P$45</f>
        <v>0.73353343296286577</v>
      </c>
      <c r="F720" s="161">
        <f t="shared" si="75"/>
        <v>5.3558616977783233E-5</v>
      </c>
      <c r="G720" s="163">
        <f t="shared" si="76"/>
        <v>32.01</v>
      </c>
      <c r="H720" s="37" t="s">
        <v>288</v>
      </c>
      <c r="I720" s="308" t="s">
        <v>253</v>
      </c>
      <c r="J720" s="309">
        <v>5.3558616977783233E-5</v>
      </c>
      <c r="K720" s="27"/>
      <c r="L720" s="267"/>
      <c r="M720" s="308"/>
      <c r="N720" s="309"/>
      <c r="O720" s="269"/>
      <c r="P720" s="269"/>
      <c r="Q720" s="269"/>
      <c r="R720" s="269"/>
      <c r="S720" s="38"/>
      <c r="T720" s="38"/>
      <c r="U720" s="38"/>
      <c r="V720" s="38"/>
      <c r="W720" s="38"/>
      <c r="X720" s="38"/>
      <c r="Y720" s="38"/>
      <c r="Z720" s="38"/>
      <c r="AA720" s="210"/>
    </row>
    <row r="721" spans="1:27" ht="12.75" customHeight="1" x14ac:dyDescent="0.25">
      <c r="A721" s="50">
        <f t="shared" si="70"/>
        <v>716</v>
      </c>
      <c r="B721" s="51"/>
      <c r="C721" s="52" t="str">
        <f t="shared" si="74"/>
        <v>1GGENOXEII</v>
      </c>
      <c r="D721" s="52"/>
      <c r="E721" s="53">
        <f>+'CALCULO TARIFAS CC '!$P$45</f>
        <v>0.73353343296286577</v>
      </c>
      <c r="F721" s="161">
        <f t="shared" si="75"/>
        <v>3.4628570405582984E-5</v>
      </c>
      <c r="G721" s="163">
        <f t="shared" si="76"/>
        <v>20.7</v>
      </c>
      <c r="H721" s="37" t="s">
        <v>288</v>
      </c>
      <c r="I721" s="308" t="s">
        <v>422</v>
      </c>
      <c r="J721" s="309">
        <v>3.4628570405582984E-5</v>
      </c>
      <c r="K721" s="27"/>
      <c r="L721" s="267"/>
      <c r="M721" s="308"/>
      <c r="N721" s="309"/>
      <c r="O721" s="269"/>
      <c r="P721" s="269"/>
      <c r="Q721" s="269"/>
      <c r="R721" s="269"/>
      <c r="S721" s="38"/>
      <c r="T721" s="38"/>
      <c r="U721" s="38"/>
      <c r="V721" s="38"/>
      <c r="W721" s="38"/>
      <c r="X721" s="38"/>
      <c r="Y721" s="38"/>
      <c r="Z721" s="38"/>
      <c r="AA721" s="210"/>
    </row>
    <row r="722" spans="1:27" ht="12.75" customHeight="1" x14ac:dyDescent="0.25">
      <c r="A722" s="50">
        <f t="shared" si="70"/>
        <v>717</v>
      </c>
      <c r="B722" s="51"/>
      <c r="C722" s="52" t="str">
        <f t="shared" si="74"/>
        <v>1GGENPANTA</v>
      </c>
      <c r="D722" s="52"/>
      <c r="E722" s="53">
        <f>+'CALCULO TARIFAS CC '!$P$45</f>
        <v>0.73353343296286577</v>
      </c>
      <c r="F722" s="161">
        <f t="shared" si="75"/>
        <v>2.0348481322517141E-8</v>
      </c>
      <c r="G722" s="163">
        <f t="shared" si="76"/>
        <v>0.01</v>
      </c>
      <c r="H722" s="37" t="s">
        <v>288</v>
      </c>
      <c r="I722" s="308" t="s">
        <v>867</v>
      </c>
      <c r="J722" s="309">
        <v>2.0348481322517141E-8</v>
      </c>
      <c r="K722" s="27"/>
      <c r="L722" s="267"/>
      <c r="M722" s="308"/>
      <c r="N722" s="309"/>
      <c r="O722" s="269"/>
      <c r="P722" s="269"/>
      <c r="Q722" s="269"/>
      <c r="R722" s="269"/>
      <c r="S722" s="38"/>
      <c r="T722" s="38"/>
      <c r="U722" s="38"/>
      <c r="V722" s="38"/>
      <c r="W722" s="38"/>
      <c r="X722" s="38"/>
      <c r="Y722" s="38"/>
      <c r="Z722" s="38"/>
      <c r="AA722" s="210"/>
    </row>
    <row r="723" spans="1:27" ht="12.75" customHeight="1" x14ac:dyDescent="0.25">
      <c r="A723" s="50">
        <f t="shared" si="70"/>
        <v>718</v>
      </c>
      <c r="B723" s="51"/>
      <c r="C723" s="52" t="str">
        <f t="shared" si="74"/>
        <v>1GGENPAPEL</v>
      </c>
      <c r="D723" s="52"/>
      <c r="E723" s="53">
        <f>+'CALCULO TARIFAS CC '!$P$45</f>
        <v>0.73353343296286577</v>
      </c>
      <c r="F723" s="161">
        <f t="shared" si="75"/>
        <v>1.0765991946687802E-5</v>
      </c>
      <c r="G723" s="163">
        <f t="shared" si="76"/>
        <v>6.43</v>
      </c>
      <c r="H723" s="37" t="s">
        <v>288</v>
      </c>
      <c r="I723" s="308" t="s">
        <v>254</v>
      </c>
      <c r="J723" s="309">
        <v>1.0765991946687802E-5</v>
      </c>
      <c r="K723" s="27"/>
      <c r="L723" s="267"/>
      <c r="M723" s="308"/>
      <c r="N723" s="309"/>
      <c r="O723" s="269"/>
      <c r="P723" s="269"/>
      <c r="Q723" s="269"/>
      <c r="R723" s="269"/>
      <c r="S723" s="38"/>
      <c r="T723" s="38"/>
      <c r="U723" s="38"/>
      <c r="V723" s="38"/>
      <c r="W723" s="38"/>
      <c r="X723" s="38"/>
      <c r="Y723" s="38"/>
      <c r="Z723" s="38"/>
      <c r="AA723" s="210"/>
    </row>
    <row r="724" spans="1:27" ht="12.75" customHeight="1" x14ac:dyDescent="0.25">
      <c r="A724" s="50">
        <f t="shared" si="70"/>
        <v>719</v>
      </c>
      <c r="B724" s="51"/>
      <c r="C724" s="52" t="str">
        <f t="shared" si="74"/>
        <v>1GGENPUQPL</v>
      </c>
      <c r="D724" s="52"/>
      <c r="E724" s="53">
        <f>+'CALCULO TARIFAS CC '!$P$45</f>
        <v>0.73353343296286577</v>
      </c>
      <c r="F724" s="161">
        <f t="shared" si="75"/>
        <v>3.1185487351594249E-4</v>
      </c>
      <c r="G724" s="163">
        <f t="shared" si="76"/>
        <v>186.39</v>
      </c>
      <c r="H724" s="37" t="s">
        <v>288</v>
      </c>
      <c r="I724" s="308" t="s">
        <v>255</v>
      </c>
      <c r="J724" s="309">
        <v>3.1185487351594249E-4</v>
      </c>
      <c r="K724" s="27"/>
      <c r="L724" s="267"/>
      <c r="M724" s="308"/>
      <c r="N724" s="309"/>
      <c r="O724" s="269"/>
      <c r="P724" s="269"/>
      <c r="Q724" s="269"/>
      <c r="R724" s="269"/>
      <c r="S724" s="38"/>
      <c r="T724" s="38"/>
      <c r="U724" s="38"/>
      <c r="V724" s="38"/>
      <c r="W724" s="38"/>
      <c r="X724" s="38"/>
      <c r="Y724" s="38"/>
      <c r="Z724" s="38"/>
      <c r="AA724" s="210"/>
    </row>
    <row r="725" spans="1:27" ht="12.75" customHeight="1" x14ac:dyDescent="0.25">
      <c r="A725" s="50">
        <f t="shared" si="70"/>
        <v>720</v>
      </c>
      <c r="B725" s="51"/>
      <c r="C725" s="52" t="str">
        <f t="shared" si="74"/>
        <v>1GGENRENGU</v>
      </c>
      <c r="D725" s="52"/>
      <c r="E725" s="53">
        <f>+'CALCULO TARIFAS CC '!$P$45</f>
        <v>0.73353343296286577</v>
      </c>
      <c r="F725" s="161">
        <f t="shared" si="75"/>
        <v>1.9079672424157908E-4</v>
      </c>
      <c r="G725" s="163">
        <f t="shared" si="76"/>
        <v>114.04</v>
      </c>
      <c r="H725" s="37" t="s">
        <v>288</v>
      </c>
      <c r="I725" s="308" t="s">
        <v>256</v>
      </c>
      <c r="J725" s="309">
        <v>1.9079672424157908E-4</v>
      </c>
      <c r="K725" s="27"/>
      <c r="L725" s="267"/>
      <c r="M725" s="308"/>
      <c r="N725" s="309"/>
      <c r="O725" s="269"/>
      <c r="P725" s="269"/>
      <c r="Q725" s="269"/>
      <c r="R725" s="269"/>
      <c r="S725" s="38"/>
      <c r="T725" s="38"/>
      <c r="U725" s="38"/>
      <c r="V725" s="38"/>
      <c r="W725" s="38"/>
      <c r="X725" s="38"/>
      <c r="Y725" s="38"/>
      <c r="Z725" s="38"/>
      <c r="AA725" s="210"/>
    </row>
    <row r="726" spans="1:27" ht="12.75" customHeight="1" x14ac:dyDescent="0.25">
      <c r="A726" s="50">
        <f t="shared" si="70"/>
        <v>721</v>
      </c>
      <c r="B726" s="51"/>
      <c r="C726" s="52" t="str">
        <f t="shared" si="74"/>
        <v>1GGENRNACE</v>
      </c>
      <c r="D726" s="52"/>
      <c r="E726" s="53">
        <f>+'CALCULO TARIFAS CC '!$P$45</f>
        <v>0.73353343296286577</v>
      </c>
      <c r="F726" s="161">
        <f t="shared" si="75"/>
        <v>1.6538624111083475E-4</v>
      </c>
      <c r="G726" s="163">
        <f t="shared" si="76"/>
        <v>98.85</v>
      </c>
      <c r="H726" s="37" t="s">
        <v>288</v>
      </c>
      <c r="I726" s="308" t="s">
        <v>257</v>
      </c>
      <c r="J726" s="309">
        <v>1.6538624111083475E-4</v>
      </c>
      <c r="K726" s="27"/>
      <c r="L726" s="267"/>
      <c r="M726" s="308"/>
      <c r="N726" s="309"/>
      <c r="O726" s="269"/>
      <c r="P726" s="269"/>
      <c r="Q726" s="269"/>
      <c r="R726" s="269"/>
      <c r="S726" s="38"/>
      <c r="T726" s="38"/>
      <c r="U726" s="38"/>
      <c r="V726" s="38"/>
      <c r="W726" s="38"/>
      <c r="X726" s="38"/>
      <c r="Y726" s="38"/>
      <c r="Z726" s="38"/>
      <c r="AA726" s="210"/>
    </row>
    <row r="727" spans="1:27" ht="12.75" customHeight="1" x14ac:dyDescent="0.25">
      <c r="A727" s="50">
        <f t="shared" si="70"/>
        <v>722</v>
      </c>
      <c r="B727" s="51"/>
      <c r="C727" s="52" t="str">
        <f t="shared" si="74"/>
        <v>1GGENSERCM</v>
      </c>
      <c r="D727" s="52"/>
      <c r="E727" s="53">
        <f>+'CALCULO TARIFAS CC '!$P$45</f>
        <v>0.73353343296286577</v>
      </c>
      <c r="F727" s="161">
        <f t="shared" si="75"/>
        <v>2.1256912457023031E-4</v>
      </c>
      <c r="G727" s="163">
        <f t="shared" si="76"/>
        <v>127.05</v>
      </c>
      <c r="H727" s="37" t="s">
        <v>288</v>
      </c>
      <c r="I727" s="308" t="s">
        <v>258</v>
      </c>
      <c r="J727" s="309">
        <v>2.1256912457023031E-4</v>
      </c>
      <c r="K727" s="27"/>
      <c r="L727" s="267"/>
      <c r="M727" s="308"/>
      <c r="N727" s="309"/>
      <c r="O727" s="269"/>
      <c r="P727" s="269"/>
      <c r="Q727" s="269"/>
      <c r="R727" s="269"/>
      <c r="S727" s="38"/>
      <c r="T727" s="38"/>
      <c r="U727" s="38"/>
      <c r="V727" s="38"/>
      <c r="W727" s="38"/>
      <c r="X727" s="38"/>
      <c r="Y727" s="38"/>
      <c r="Z727" s="38"/>
      <c r="AA727" s="210"/>
    </row>
    <row r="728" spans="1:27" ht="12.75" customHeight="1" x14ac:dyDescent="0.25">
      <c r="A728" s="50">
        <f t="shared" si="70"/>
        <v>723</v>
      </c>
      <c r="B728" s="51"/>
      <c r="C728" s="52" t="str">
        <f t="shared" si="74"/>
        <v>1GGENTECNO</v>
      </c>
      <c r="D728" s="52"/>
      <c r="E728" s="53">
        <f>+'CALCULO TARIFAS CC '!$P$45</f>
        <v>0.73353343296286577</v>
      </c>
      <c r="F728" s="161">
        <f t="shared" si="75"/>
        <v>2.4559372405768746E-8</v>
      </c>
      <c r="G728" s="163">
        <f t="shared" si="76"/>
        <v>0.01</v>
      </c>
      <c r="H728" s="37" t="s">
        <v>288</v>
      </c>
      <c r="I728" s="308" t="s">
        <v>868</v>
      </c>
      <c r="J728" s="309">
        <v>2.4559372405768746E-8</v>
      </c>
      <c r="K728" s="27"/>
      <c r="L728" s="267"/>
      <c r="M728" s="308"/>
      <c r="N728" s="309"/>
      <c r="O728" s="269"/>
      <c r="P728" s="269"/>
      <c r="Q728" s="269"/>
      <c r="R728" s="269"/>
      <c r="S728" s="38"/>
      <c r="T728" s="38"/>
      <c r="U728" s="38"/>
      <c r="V728" s="38"/>
      <c r="W728" s="38"/>
      <c r="X728" s="38"/>
      <c r="Y728" s="38"/>
      <c r="Z728" s="38"/>
      <c r="AA728" s="210"/>
    </row>
    <row r="729" spans="1:27" s="257" customFormat="1" ht="12.75" customHeight="1" x14ac:dyDescent="0.25">
      <c r="A729" s="50">
        <f t="shared" si="70"/>
        <v>724</v>
      </c>
      <c r="B729" s="51"/>
      <c r="C729" s="52" t="str">
        <f t="shared" si="74"/>
        <v>1GGENTERMI</v>
      </c>
      <c r="D729" s="52"/>
      <c r="E729" s="53">
        <f>+'CALCULO TARIFAS CC '!$P$45</f>
        <v>0.73353343296286577</v>
      </c>
      <c r="F729" s="161">
        <f t="shared" si="75"/>
        <v>1.1848718658406922E-4</v>
      </c>
      <c r="G729" s="163">
        <f t="shared" si="76"/>
        <v>70.819999999999993</v>
      </c>
      <c r="H729" s="37" t="s">
        <v>288</v>
      </c>
      <c r="I729" s="308" t="s">
        <v>259</v>
      </c>
      <c r="J729" s="309">
        <v>1.1848718658406922E-4</v>
      </c>
      <c r="K729" s="27"/>
      <c r="L729" s="267"/>
      <c r="M729" s="308"/>
      <c r="N729" s="309"/>
      <c r="O729" s="269"/>
      <c r="P729" s="269"/>
      <c r="Q729" s="269"/>
      <c r="R729" s="269"/>
      <c r="S729" s="38"/>
      <c r="T729" s="38"/>
      <c r="U729" s="38"/>
      <c r="V729" s="38"/>
      <c r="W729" s="38"/>
      <c r="X729" s="38"/>
      <c r="Y729" s="38"/>
      <c r="Z729" s="38"/>
      <c r="AA729" s="210"/>
    </row>
    <row r="730" spans="1:27" s="257" customFormat="1" ht="12.75" customHeight="1" x14ac:dyDescent="0.25">
      <c r="A730" s="50">
        <f t="shared" si="70"/>
        <v>725</v>
      </c>
      <c r="B730" s="51"/>
      <c r="C730" s="52" t="str">
        <f t="shared" si="74"/>
        <v>1GGENTRAEL</v>
      </c>
      <c r="D730" s="52"/>
      <c r="E730" s="53">
        <f>+'CALCULO TARIFAS CC '!$P$45</f>
        <v>0.73353343296286577</v>
      </c>
      <c r="F730" s="161">
        <f t="shared" si="75"/>
        <v>6.6048172101954068E-5</v>
      </c>
      <c r="G730" s="163">
        <f t="shared" si="76"/>
        <v>39.479999999999997</v>
      </c>
      <c r="H730" s="37" t="s">
        <v>288</v>
      </c>
      <c r="I730" s="308" t="s">
        <v>360</v>
      </c>
      <c r="J730" s="309">
        <v>6.6048172101954068E-5</v>
      </c>
      <c r="K730" s="27"/>
      <c r="L730" s="267"/>
      <c r="M730" s="308"/>
      <c r="N730" s="309"/>
      <c r="O730" s="269"/>
      <c r="P730" s="269"/>
      <c r="Q730" s="269"/>
      <c r="R730" s="269"/>
      <c r="S730" s="38"/>
      <c r="T730" s="38"/>
      <c r="U730" s="38"/>
      <c r="V730" s="38"/>
      <c r="W730" s="38"/>
      <c r="X730" s="38"/>
      <c r="Y730" s="38"/>
      <c r="Z730" s="38"/>
      <c r="AA730" s="210"/>
    </row>
    <row r="731" spans="1:27" s="257" customFormat="1" ht="12.75" customHeight="1" x14ac:dyDescent="0.25">
      <c r="A731" s="50">
        <f t="shared" si="70"/>
        <v>726</v>
      </c>
      <c r="B731" s="51"/>
      <c r="C731" s="52" t="str">
        <f t="shared" si="74"/>
        <v>1GGENVIEBL</v>
      </c>
      <c r="D731" s="52"/>
      <c r="E731" s="53">
        <f>+'CALCULO TARIFAS CC '!$P$45</f>
        <v>0.73353343296286577</v>
      </c>
      <c r="F731" s="161">
        <f t="shared" si="75"/>
        <v>7.6206918044354046E-5</v>
      </c>
      <c r="G731" s="163">
        <f t="shared" si="76"/>
        <v>45.55</v>
      </c>
      <c r="H731" s="37" t="s">
        <v>288</v>
      </c>
      <c r="I731" s="308" t="s">
        <v>260</v>
      </c>
      <c r="J731" s="309">
        <v>7.6206918044354046E-5</v>
      </c>
      <c r="K731" s="27"/>
      <c r="L731" s="267"/>
      <c r="M731" s="308"/>
      <c r="N731" s="309"/>
      <c r="O731" s="269"/>
      <c r="P731" s="269"/>
      <c r="Q731" s="269"/>
      <c r="R731" s="269"/>
      <c r="S731" s="38"/>
      <c r="T731" s="38"/>
      <c r="U731" s="38"/>
      <c r="V731" s="38"/>
      <c r="W731" s="38"/>
      <c r="X731" s="38"/>
      <c r="Y731" s="38"/>
      <c r="Z731" s="38"/>
      <c r="AA731" s="210"/>
    </row>
    <row r="732" spans="1:27" ht="12.75" customHeight="1" x14ac:dyDescent="0.25">
      <c r="A732" s="50">
        <f t="shared" si="70"/>
        <v>727</v>
      </c>
      <c r="B732" s="51"/>
      <c r="C732" s="52" t="str">
        <f t="shared" si="74"/>
        <v>1TTRAEMPRR</v>
      </c>
      <c r="D732" s="52"/>
      <c r="E732" s="53">
        <f>+'CALCULO TARIFAS CC '!$P$45</f>
        <v>0.73353343296286577</v>
      </c>
      <c r="F732" s="161">
        <f t="shared" si="75"/>
        <v>1.0098191898928372E-5</v>
      </c>
      <c r="G732" s="163">
        <f t="shared" si="76"/>
        <v>6.04</v>
      </c>
      <c r="H732" s="37" t="s">
        <v>288</v>
      </c>
      <c r="I732" s="308" t="s">
        <v>261</v>
      </c>
      <c r="J732" s="309">
        <v>1.0098191898928372E-5</v>
      </c>
      <c r="K732" s="27"/>
      <c r="L732" s="267"/>
      <c r="M732" s="308"/>
      <c r="N732" s="309"/>
      <c r="O732" s="269"/>
      <c r="P732" s="269"/>
      <c r="Q732" s="269"/>
      <c r="R732" s="269"/>
      <c r="S732" s="38"/>
      <c r="T732" s="38"/>
      <c r="U732" s="38"/>
      <c r="V732" s="38"/>
      <c r="W732" s="38"/>
      <c r="X732" s="38"/>
      <c r="Y732" s="38"/>
      <c r="Z732" s="38"/>
      <c r="AA732" s="210"/>
    </row>
    <row r="733" spans="1:27" ht="12.75" customHeight="1" x14ac:dyDescent="0.25">
      <c r="A733" s="50">
        <f t="shared" si="70"/>
        <v>728</v>
      </c>
      <c r="B733" s="51"/>
      <c r="C733" s="52" t="str">
        <f t="shared" si="74"/>
        <v>1TTRAETCEE</v>
      </c>
      <c r="D733" s="52"/>
      <c r="E733" s="53">
        <f>+'CALCULO TARIFAS CC '!$P$45</f>
        <v>0.73353343296286577</v>
      </c>
      <c r="F733" s="161">
        <f t="shared" si="75"/>
        <v>4.9143815838728329E-4</v>
      </c>
      <c r="G733" s="163">
        <f t="shared" si="76"/>
        <v>293.73</v>
      </c>
      <c r="H733" s="37" t="s">
        <v>288</v>
      </c>
      <c r="I733" s="308" t="s">
        <v>262</v>
      </c>
      <c r="J733" s="309">
        <v>4.9143815838728329E-4</v>
      </c>
      <c r="K733" s="27"/>
      <c r="L733" s="267"/>
      <c r="M733" s="308"/>
      <c r="N733" s="309"/>
      <c r="O733" s="269"/>
      <c r="P733" s="269"/>
      <c r="Q733" s="269"/>
      <c r="R733" s="269"/>
      <c r="S733" s="38"/>
      <c r="T733" s="38"/>
      <c r="U733" s="38"/>
      <c r="V733" s="38"/>
      <c r="W733" s="38"/>
      <c r="X733" s="38"/>
      <c r="Y733" s="38"/>
      <c r="Z733" s="38"/>
      <c r="AA733" s="210"/>
    </row>
    <row r="734" spans="1:27" ht="12.75" customHeight="1" x14ac:dyDescent="0.25">
      <c r="A734" s="50">
        <f t="shared" si="70"/>
        <v>729</v>
      </c>
      <c r="B734" s="51"/>
      <c r="C734" s="52" t="str">
        <f t="shared" si="74"/>
        <v>1TTRAREELC</v>
      </c>
      <c r="D734" s="52"/>
      <c r="E734" s="53">
        <f>+'CALCULO TARIFAS CC '!$P$45</f>
        <v>0.73353343296286577</v>
      </c>
      <c r="F734" s="161">
        <f t="shared" si="75"/>
        <v>4.6837544930536095E-6</v>
      </c>
      <c r="G734" s="163">
        <f t="shared" si="76"/>
        <v>2.8</v>
      </c>
      <c r="H734" s="37" t="s">
        <v>288</v>
      </c>
      <c r="I734" s="308" t="s">
        <v>781</v>
      </c>
      <c r="J734" s="309">
        <v>4.6837544930536095E-6</v>
      </c>
      <c r="K734" s="27"/>
      <c r="L734" s="267"/>
      <c r="M734" s="308"/>
      <c r="N734" s="309"/>
      <c r="O734" s="269"/>
      <c r="P734" s="269"/>
      <c r="Q734" s="269"/>
      <c r="R734" s="269"/>
      <c r="S734" s="38"/>
      <c r="T734" s="38"/>
      <c r="U734" s="38"/>
      <c r="V734" s="38"/>
      <c r="W734" s="38"/>
      <c r="X734" s="38"/>
      <c r="Y734" s="38"/>
      <c r="Z734" s="38"/>
      <c r="AA734" s="210"/>
    </row>
    <row r="735" spans="1:27" s="198" customFormat="1" ht="12.75" customHeight="1" x14ac:dyDescent="0.25">
      <c r="A735" s="50">
        <f>+A734+1</f>
        <v>730</v>
      </c>
      <c r="B735" s="51"/>
      <c r="C735" s="52" t="str">
        <f t="shared" si="74"/>
        <v>1TTRATEEDN</v>
      </c>
      <c r="D735" s="52"/>
      <c r="E735" s="53">
        <f>+'CALCULO TARIFAS CC '!$P$45</f>
        <v>0.73353343296286577</v>
      </c>
      <c r="F735" s="161">
        <f t="shared" si="75"/>
        <v>1.3545445599995281E-5</v>
      </c>
      <c r="G735" s="163">
        <f t="shared" si="76"/>
        <v>8.1</v>
      </c>
      <c r="H735" s="37" t="s">
        <v>288</v>
      </c>
      <c r="I735" s="308" t="s">
        <v>474</v>
      </c>
      <c r="J735" s="309">
        <v>1.3545445599995281E-5</v>
      </c>
      <c r="K735" s="27"/>
      <c r="L735" s="267"/>
      <c r="M735" s="308"/>
      <c r="N735" s="309"/>
      <c r="O735" s="269"/>
      <c r="P735" s="269"/>
      <c r="Q735" s="269"/>
      <c r="R735" s="269"/>
      <c r="S735" s="38"/>
      <c r="T735" s="38"/>
      <c r="U735" s="38"/>
      <c r="V735" s="38"/>
      <c r="W735" s="38"/>
      <c r="X735" s="38"/>
      <c r="Y735" s="38"/>
      <c r="Z735" s="38"/>
      <c r="AA735" s="210"/>
    </row>
    <row r="736" spans="1:27" s="300" customFormat="1" ht="12.75" customHeight="1" x14ac:dyDescent="0.25">
      <c r="A736" s="50">
        <f t="shared" ref="A736:A746" si="77">+A735+1</f>
        <v>731</v>
      </c>
      <c r="B736" s="51"/>
      <c r="C736" s="52" t="str">
        <f t="shared" si="74"/>
        <v>1TTRATRELC</v>
      </c>
      <c r="D736" s="52"/>
      <c r="E736" s="53">
        <f>+'CALCULO TARIFAS CC '!$P$45</f>
        <v>0.73353343296286577</v>
      </c>
      <c r="F736" s="161">
        <f t="shared" si="75"/>
        <v>1.3937061666089429E-4</v>
      </c>
      <c r="G736" s="163">
        <f t="shared" si="76"/>
        <v>83.3</v>
      </c>
      <c r="H736" s="37" t="s">
        <v>288</v>
      </c>
      <c r="I736" s="308" t="s">
        <v>263</v>
      </c>
      <c r="J736" s="309">
        <v>1.3937061666089429E-4</v>
      </c>
      <c r="K736" s="27"/>
      <c r="L736" s="267"/>
      <c r="M736" s="308"/>
      <c r="N736" s="309"/>
      <c r="O736" s="269"/>
      <c r="P736" s="269"/>
      <c r="Q736" s="269"/>
      <c r="R736" s="269"/>
      <c r="S736" s="38"/>
      <c r="T736" s="38"/>
      <c r="U736" s="38"/>
      <c r="V736" s="38"/>
      <c r="W736" s="38"/>
      <c r="X736" s="38"/>
      <c r="Y736" s="38"/>
      <c r="Z736" s="38"/>
      <c r="AA736" s="210"/>
    </row>
    <row r="737" spans="1:27" s="300" customFormat="1" ht="12.75" customHeight="1" x14ac:dyDescent="0.25">
      <c r="A737" s="50">
        <f t="shared" si="77"/>
        <v>732</v>
      </c>
      <c r="B737" s="51"/>
      <c r="C737" s="52" t="str">
        <f t="shared" si="74"/>
        <v>1TTRATRENC</v>
      </c>
      <c r="D737" s="52"/>
      <c r="E737" s="53">
        <f>+'CALCULO TARIFAS CC '!$P$45</f>
        <v>0.73353343296286577</v>
      </c>
      <c r="F737" s="161">
        <f t="shared" si="75"/>
        <v>1.096806722956602E-4</v>
      </c>
      <c r="G737" s="163">
        <f t="shared" si="76"/>
        <v>65.55</v>
      </c>
      <c r="H737" s="37" t="s">
        <v>288</v>
      </c>
      <c r="I737" s="308" t="s">
        <v>438</v>
      </c>
      <c r="J737" s="309">
        <v>1.096806722956602E-4</v>
      </c>
      <c r="K737" s="27"/>
      <c r="L737" s="267"/>
      <c r="M737" s="308"/>
      <c r="N737" s="309"/>
      <c r="O737" s="269"/>
      <c r="P737" s="269"/>
      <c r="Q737" s="269"/>
      <c r="R737" s="269"/>
      <c r="S737" s="38"/>
      <c r="T737" s="38"/>
      <c r="U737" s="38"/>
      <c r="V737" s="38"/>
      <c r="W737" s="38"/>
      <c r="X737" s="38"/>
      <c r="Y737" s="38"/>
      <c r="Z737" s="38"/>
      <c r="AA737" s="210"/>
    </row>
    <row r="738" spans="1:27" s="300" customFormat="1" ht="12.75" customHeight="1" x14ac:dyDescent="0.25">
      <c r="A738" s="50">
        <f t="shared" si="77"/>
        <v>733</v>
      </c>
      <c r="B738" s="51"/>
      <c r="C738" s="52" t="str">
        <f t="shared" si="74"/>
        <v>1TTRATRENR</v>
      </c>
      <c r="D738" s="52"/>
      <c r="E738" s="53">
        <f>+'CALCULO TARIFAS CC '!$P$45</f>
        <v>0.73353343296286577</v>
      </c>
      <c r="F738" s="161">
        <f t="shared" si="75"/>
        <v>9.3234315582332109E-6</v>
      </c>
      <c r="G738" s="163">
        <f t="shared" si="76"/>
        <v>5.57</v>
      </c>
      <c r="H738" s="37" t="s">
        <v>288</v>
      </c>
      <c r="I738" s="308" t="s">
        <v>483</v>
      </c>
      <c r="J738" s="309">
        <v>9.3234315582332109E-6</v>
      </c>
      <c r="K738" s="27"/>
      <c r="L738" s="267"/>
      <c r="M738" s="308"/>
      <c r="N738" s="309"/>
      <c r="O738" s="269"/>
      <c r="P738" s="269"/>
      <c r="Q738" s="269"/>
      <c r="R738" s="269"/>
      <c r="S738" s="38"/>
      <c r="T738" s="38"/>
      <c r="U738" s="38"/>
      <c r="V738" s="38"/>
      <c r="W738" s="38"/>
      <c r="X738" s="38"/>
      <c r="Y738" s="38"/>
      <c r="Z738" s="38"/>
      <c r="AA738" s="210"/>
    </row>
    <row r="739" spans="1:27" s="198" customFormat="1" ht="12.75" customHeight="1" x14ac:dyDescent="0.25">
      <c r="A739" s="50">
        <f t="shared" si="77"/>
        <v>734</v>
      </c>
      <c r="B739" s="51"/>
      <c r="C739" s="52" t="str">
        <f t="shared" si="74"/>
        <v>1UGUSAGJIC</v>
      </c>
      <c r="D739" s="52"/>
      <c r="E739" s="53">
        <f>+'CALCULO TARIFAS CC '!$P$45</f>
        <v>0.73353343296286577</v>
      </c>
      <c r="F739" s="161">
        <f t="shared" si="75"/>
        <v>9.9543280138309189E-5</v>
      </c>
      <c r="G739" s="163">
        <f t="shared" si="76"/>
        <v>59.5</v>
      </c>
      <c r="H739" s="37" t="s">
        <v>288</v>
      </c>
      <c r="I739" s="308" t="s">
        <v>264</v>
      </c>
      <c r="J739" s="309">
        <v>9.9543280138309189E-5</v>
      </c>
      <c r="K739" s="27"/>
      <c r="L739" s="267"/>
      <c r="M739" s="308"/>
      <c r="N739" s="309"/>
      <c r="O739" s="269"/>
      <c r="P739" s="269"/>
      <c r="Q739" s="269"/>
      <c r="R739" s="269"/>
      <c r="S739" s="38"/>
      <c r="T739" s="38"/>
      <c r="U739" s="38"/>
      <c r="V739" s="38"/>
      <c r="W739" s="38"/>
      <c r="X739" s="38"/>
      <c r="Y739" s="38"/>
      <c r="Z739" s="38"/>
      <c r="AA739" s="210"/>
    </row>
    <row r="740" spans="1:27" s="198" customFormat="1" ht="12.75" customHeight="1" x14ac:dyDescent="0.25">
      <c r="A740" s="50">
        <f t="shared" si="77"/>
        <v>735</v>
      </c>
      <c r="B740" s="51"/>
      <c r="C740" s="52" t="str">
        <f t="shared" si="74"/>
        <v>1UGUSEMGEE</v>
      </c>
      <c r="D740" s="52"/>
      <c r="E740" s="53">
        <f>+'CALCULO TARIFAS CC '!$P$45</f>
        <v>0.73353343296286577</v>
      </c>
      <c r="F740" s="161">
        <f t="shared" si="75"/>
        <v>1.1560618813995917E-4</v>
      </c>
      <c r="G740" s="163">
        <f t="shared" si="76"/>
        <v>69.099999999999994</v>
      </c>
      <c r="H740" s="37" t="s">
        <v>288</v>
      </c>
      <c r="I740" s="308" t="s">
        <v>265</v>
      </c>
      <c r="J740" s="309">
        <v>1.1560618813995917E-4</v>
      </c>
      <c r="K740" s="27"/>
      <c r="L740" s="267"/>
      <c r="M740" s="308"/>
      <c r="N740" s="309"/>
      <c r="O740" s="269"/>
      <c r="P740" s="269"/>
      <c r="Q740" s="269"/>
      <c r="R740" s="269"/>
      <c r="S740" s="38"/>
      <c r="T740" s="38"/>
      <c r="U740" s="38"/>
      <c r="V740" s="38"/>
      <c r="W740" s="38"/>
      <c r="X740" s="38"/>
      <c r="Y740" s="38"/>
      <c r="Z740" s="38"/>
      <c r="AA740" s="210"/>
    </row>
    <row r="741" spans="1:27" s="371" customFormat="1" ht="12.75" customHeight="1" x14ac:dyDescent="0.25">
      <c r="A741" s="50">
        <f t="shared" si="77"/>
        <v>736</v>
      </c>
      <c r="B741" s="51"/>
      <c r="C741" s="52" t="str">
        <f t="shared" si="74"/>
        <v>1UGUSENRSW</v>
      </c>
      <c r="D741" s="52"/>
      <c r="E741" s="53">
        <f>+'CALCULO TARIFAS CC '!$P$45</f>
        <v>0.73353343296286577</v>
      </c>
      <c r="F741" s="161">
        <f t="shared" si="75"/>
        <v>1.0907065786640131E-4</v>
      </c>
      <c r="G741" s="163">
        <f t="shared" ref="G741:G746" si="78">+ROUND(E741*F741*$F$747,2)</f>
        <v>65.19</v>
      </c>
      <c r="H741" s="37" t="s">
        <v>288</v>
      </c>
      <c r="I741" s="308" t="s">
        <v>363</v>
      </c>
      <c r="J741" s="309">
        <v>1.0907065786640131E-4</v>
      </c>
      <c r="K741" s="27"/>
      <c r="L741" s="267"/>
      <c r="M741" s="308"/>
      <c r="N741" s="309"/>
      <c r="O741" s="269"/>
      <c r="P741" s="269"/>
      <c r="Q741" s="269"/>
      <c r="R741" s="269"/>
      <c r="S741" s="38"/>
      <c r="T741" s="38"/>
      <c r="U741" s="38"/>
      <c r="V741" s="38"/>
      <c r="W741" s="38"/>
      <c r="X741" s="38"/>
      <c r="Y741" s="38"/>
      <c r="Z741" s="38"/>
      <c r="AA741" s="210"/>
    </row>
    <row r="742" spans="1:27" s="371" customFormat="1" ht="12.75" customHeight="1" x14ac:dyDescent="0.25">
      <c r="A742" s="50">
        <f t="shared" si="77"/>
        <v>737</v>
      </c>
      <c r="B742" s="51"/>
      <c r="C742" s="52" t="str">
        <f t="shared" si="74"/>
        <v>1UGUSENTRI</v>
      </c>
      <c r="D742" s="52"/>
      <c r="E742" s="53">
        <f>+'CALCULO TARIFAS CC '!$P$45</f>
        <v>0.73353343296286577</v>
      </c>
      <c r="F742" s="161">
        <f t="shared" si="75"/>
        <v>8.9924356609900018E-5</v>
      </c>
      <c r="G742" s="163">
        <f t="shared" si="78"/>
        <v>53.75</v>
      </c>
      <c r="H742" s="37" t="s">
        <v>288</v>
      </c>
      <c r="I742" s="308" t="s">
        <v>364</v>
      </c>
      <c r="J742" s="309">
        <v>8.9924356609900018E-5</v>
      </c>
      <c r="K742" s="27"/>
      <c r="L742" s="267"/>
      <c r="M742" s="308"/>
      <c r="N742" s="309"/>
      <c r="O742" s="269"/>
      <c r="P742" s="269"/>
      <c r="Q742" s="269"/>
      <c r="R742" s="269"/>
      <c r="S742" s="38"/>
      <c r="T742" s="38"/>
      <c r="U742" s="38"/>
      <c r="V742" s="38"/>
      <c r="W742" s="38"/>
      <c r="X742" s="38"/>
      <c r="Y742" s="38"/>
      <c r="Z742" s="38"/>
      <c r="AA742" s="210"/>
    </row>
    <row r="743" spans="1:27" s="325" customFormat="1" ht="12.75" customHeight="1" x14ac:dyDescent="0.25">
      <c r="A743" s="50">
        <f t="shared" si="77"/>
        <v>738</v>
      </c>
      <c r="B743" s="51"/>
      <c r="C743" s="52" t="str">
        <f t="shared" si="74"/>
        <v>1UGUSGUAMO</v>
      </c>
      <c r="D743" s="52"/>
      <c r="E743" s="53">
        <f>+'CALCULO TARIFAS CC '!$P$45</f>
        <v>0.73353343296286577</v>
      </c>
      <c r="F743" s="161">
        <f t="shared" si="75"/>
        <v>5.6492823997341378E-4</v>
      </c>
      <c r="G743" s="163">
        <f t="shared" si="78"/>
        <v>337.65</v>
      </c>
      <c r="H743" s="37" t="s">
        <v>288</v>
      </c>
      <c r="I743" s="308" t="s">
        <v>266</v>
      </c>
      <c r="J743" s="309">
        <v>5.6492823997341378E-4</v>
      </c>
      <c r="K743" s="27"/>
      <c r="L743" s="267"/>
      <c r="M743" s="308"/>
      <c r="N743" s="309"/>
      <c r="O743" s="269"/>
      <c r="P743" s="269"/>
      <c r="Q743" s="269"/>
      <c r="R743" s="269"/>
      <c r="S743" s="38"/>
      <c r="T743" s="38"/>
      <c r="U743" s="38"/>
      <c r="V743" s="38"/>
      <c r="W743" s="38"/>
      <c r="X743" s="38"/>
      <c r="Y743" s="38"/>
      <c r="Z743" s="38"/>
      <c r="AA743" s="210"/>
    </row>
    <row r="744" spans="1:27" s="325" customFormat="1" ht="12.75" customHeight="1" x14ac:dyDescent="0.25">
      <c r="A744" s="50">
        <f t="shared" si="77"/>
        <v>739</v>
      </c>
      <c r="B744" s="51"/>
      <c r="C744" s="52" t="str">
        <f t="shared" si="74"/>
        <v>1UGUSINMRO</v>
      </c>
      <c r="D744" s="52"/>
      <c r="E744" s="53">
        <f>+'CALCULO TARIFAS CC '!$P$45</f>
        <v>0.73353343296286577</v>
      </c>
      <c r="F744" s="161">
        <f t="shared" si="75"/>
        <v>1.8907285834046848E-4</v>
      </c>
      <c r="G744" s="163">
        <f t="shared" si="78"/>
        <v>113.01</v>
      </c>
      <c r="H744" s="37" t="s">
        <v>288</v>
      </c>
      <c r="I744" s="308" t="s">
        <v>267</v>
      </c>
      <c r="J744" s="309">
        <v>1.8907285834046848E-4</v>
      </c>
      <c r="K744" s="27"/>
      <c r="L744" s="267"/>
      <c r="M744" s="308"/>
      <c r="N744" s="309"/>
      <c r="O744" s="269"/>
      <c r="P744" s="269"/>
      <c r="Q744" s="269"/>
      <c r="R744" s="269"/>
      <c r="S744" s="38"/>
      <c r="T744" s="38"/>
      <c r="U744" s="38"/>
      <c r="V744" s="38"/>
      <c r="W744" s="38"/>
      <c r="X744" s="38"/>
      <c r="Y744" s="38"/>
      <c r="Z744" s="38"/>
      <c r="AA744" s="210"/>
    </row>
    <row r="745" spans="1:27" s="325" customFormat="1" ht="12.75" customHeight="1" x14ac:dyDescent="0.25">
      <c r="A745" s="50">
        <f t="shared" si="77"/>
        <v>740</v>
      </c>
      <c r="B745" s="51"/>
      <c r="C745" s="52" t="str">
        <f t="shared" si="74"/>
        <v>1UGUSIRTRA</v>
      </c>
      <c r="D745" s="52"/>
      <c r="E745" s="53">
        <f>+'CALCULO TARIFAS CC '!$P$45</f>
        <v>0.73353343296286577</v>
      </c>
      <c r="F745" s="161">
        <f t="shared" si="75"/>
        <v>5.704980639141162E-4</v>
      </c>
      <c r="G745" s="163">
        <f t="shared" si="78"/>
        <v>340.98</v>
      </c>
      <c r="H745" s="37" t="s">
        <v>288</v>
      </c>
      <c r="I745" t="s">
        <v>268</v>
      </c>
      <c r="J745" s="309">
        <v>5.704980639141162E-4</v>
      </c>
      <c r="K745" s="27"/>
      <c r="L745" s="267"/>
      <c r="M745" s="308"/>
      <c r="N745" s="309"/>
      <c r="O745" s="269"/>
      <c r="P745" s="269"/>
      <c r="Q745" s="269"/>
      <c r="R745" s="269"/>
      <c r="S745" s="38"/>
      <c r="T745" s="38"/>
      <c r="U745" s="38"/>
      <c r="V745" s="38"/>
      <c r="W745" s="38"/>
      <c r="X745" s="38"/>
      <c r="Y745" s="38"/>
      <c r="Z745" s="38"/>
      <c r="AA745" s="210"/>
    </row>
    <row r="746" spans="1:27" ht="12.75" customHeight="1" thickBot="1" x14ac:dyDescent="0.3">
      <c r="A746" s="50">
        <f t="shared" si="77"/>
        <v>741</v>
      </c>
      <c r="B746" s="51"/>
      <c r="C746" s="52" t="str">
        <f t="shared" si="74"/>
        <v>1UGUSOEGYC</v>
      </c>
      <c r="D746" s="52"/>
      <c r="E746" s="53">
        <f>+'CALCULO TARIFAS CC '!$P$45</f>
        <v>0.73353343296286577</v>
      </c>
      <c r="F746" s="161">
        <f t="shared" si="75"/>
        <v>1.5424914068278787E-5</v>
      </c>
      <c r="G746" s="163">
        <f t="shared" si="78"/>
        <v>9.2200000000000006</v>
      </c>
      <c r="H746" s="37" t="s">
        <v>288</v>
      </c>
      <c r="I746" t="s">
        <v>269</v>
      </c>
      <c r="J746" s="309">
        <v>1.5424914068278787E-5</v>
      </c>
      <c r="K746" s="27"/>
      <c r="L746" s="267"/>
      <c r="M746" s="308"/>
      <c r="N746" s="309"/>
      <c r="O746" s="269"/>
      <c r="P746" s="269"/>
      <c r="Q746" s="269"/>
      <c r="R746" s="269"/>
      <c r="S746" s="38"/>
      <c r="T746" s="38"/>
      <c r="U746" s="38"/>
      <c r="V746" s="38"/>
      <c r="W746" s="38"/>
      <c r="X746" s="38"/>
      <c r="Y746" s="38"/>
      <c r="Z746" s="38"/>
      <c r="AA746" s="210"/>
    </row>
    <row r="747" spans="1:27" ht="12.75" customHeight="1" thickBot="1" x14ac:dyDescent="0.3">
      <c r="A747" s="95"/>
      <c r="B747" s="97"/>
      <c r="C747" s="97" t="s">
        <v>305</v>
      </c>
      <c r="D747" s="97"/>
      <c r="E747" s="97"/>
      <c r="F747" s="183">
        <v>814805.72888772609</v>
      </c>
      <c r="G747" s="101">
        <f>SUM(G627:G746)</f>
        <v>597687.2000000003</v>
      </c>
      <c r="H747" s="37"/>
      <c r="K747" s="38"/>
      <c r="L747" s="267"/>
      <c r="M747" s="38"/>
      <c r="N747" s="38"/>
      <c r="O747" s="38"/>
      <c r="P747" s="38"/>
      <c r="Q747" s="38"/>
      <c r="R747" s="269"/>
      <c r="S747" s="38"/>
      <c r="T747" s="38"/>
      <c r="U747" s="38"/>
      <c r="V747" s="38"/>
      <c r="W747" s="38"/>
      <c r="X747" s="38"/>
      <c r="Y747" s="38"/>
      <c r="Z747" s="38"/>
    </row>
    <row r="748" spans="1:27" ht="12.75" customHeight="1" x14ac:dyDescent="0.25">
      <c r="A748" s="184"/>
      <c r="B748" s="38"/>
      <c r="C748" s="38"/>
      <c r="D748" s="38"/>
      <c r="E748" s="38"/>
      <c r="F748" s="185"/>
      <c r="G748" s="186"/>
      <c r="H748" s="37"/>
      <c r="K748" s="38"/>
      <c r="L748" s="27"/>
      <c r="M748" s="38"/>
      <c r="N748" s="38"/>
      <c r="O748" s="38"/>
      <c r="P748" s="38"/>
      <c r="Q748" s="269"/>
      <c r="R748" s="269"/>
      <c r="S748" s="38"/>
      <c r="T748" s="38"/>
      <c r="U748" s="38"/>
      <c r="V748" s="38"/>
      <c r="W748" s="38"/>
      <c r="X748" s="38"/>
      <c r="Y748" s="38"/>
      <c r="Z748" s="38"/>
    </row>
    <row r="749" spans="1:27" ht="12.75" customHeight="1" thickBot="1" x14ac:dyDescent="0.3">
      <c r="A749" s="184"/>
      <c r="B749" s="38"/>
      <c r="C749" s="187" t="s">
        <v>329</v>
      </c>
      <c r="D749" s="187"/>
      <c r="E749" s="187"/>
      <c r="F749" s="188"/>
      <c r="G749" s="187"/>
      <c r="H749" s="37"/>
      <c r="J749" s="336"/>
      <c r="K749" s="38"/>
      <c r="L749" s="27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7" ht="12.75" customHeight="1" thickBot="1" x14ac:dyDescent="0.3">
      <c r="A750" s="184"/>
      <c r="B750" s="38"/>
      <c r="C750" s="189" t="s">
        <v>271</v>
      </c>
      <c r="D750" s="190"/>
      <c r="E750" s="190" t="s">
        <v>330</v>
      </c>
      <c r="F750" s="191" t="s">
        <v>331</v>
      </c>
      <c r="G750" s="192" t="s">
        <v>332</v>
      </c>
      <c r="H750" s="37"/>
      <c r="K750" s="38"/>
      <c r="L750" s="27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7" ht="12.75" customHeight="1" x14ac:dyDescent="0.25">
      <c r="A751" s="184"/>
      <c r="B751" s="38"/>
      <c r="C751" s="226" t="s">
        <v>333</v>
      </c>
      <c r="D751" s="227"/>
      <c r="E751" s="228">
        <f>+'CALCULO TARIFAS CC '!P45</f>
        <v>0.73353343296286577</v>
      </c>
      <c r="F751" s="343">
        <f>+F747</f>
        <v>814805.72888772609</v>
      </c>
      <c r="G751" s="220">
        <f>+ROUND(G747,2)</f>
        <v>597687.19999999995</v>
      </c>
      <c r="H751" s="193"/>
      <c r="I751" s="375"/>
      <c r="J751" s="363"/>
      <c r="K751" s="272"/>
      <c r="L751" s="272"/>
      <c r="M751" s="272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7" ht="12.75" customHeight="1" x14ac:dyDescent="0.25">
      <c r="A752" s="184"/>
      <c r="B752" s="38"/>
      <c r="C752" s="229" t="s">
        <v>334</v>
      </c>
      <c r="D752" s="230"/>
      <c r="E752" s="231">
        <f>+'CALCULO TARIFAS CC '!Q45</f>
        <v>1.4128083020629791</v>
      </c>
      <c r="F752" s="221">
        <f>+F626</f>
        <v>441737.48060000001</v>
      </c>
      <c r="G752" s="222">
        <f>+ROUND(G626,2)</f>
        <v>624090.36</v>
      </c>
      <c r="H752" s="193"/>
      <c r="I752" s="341"/>
      <c r="J752" s="363"/>
      <c r="K752" s="272"/>
      <c r="L752" s="272"/>
      <c r="M752" s="272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2.75" customHeight="1" x14ac:dyDescent="0.25">
      <c r="A753" s="184"/>
      <c r="B753" s="38"/>
      <c r="C753" s="229" t="s">
        <v>335</v>
      </c>
      <c r="D753" s="230"/>
      <c r="E753" s="231">
        <f>+'CALCULO TARIFAS CC '!R45</f>
        <v>0.52986898373699864</v>
      </c>
      <c r="F753" s="221">
        <f>+F582</f>
        <v>742366.7182</v>
      </c>
      <c r="G753" s="222">
        <f>+ROUND(G582,2)</f>
        <v>393357.1</v>
      </c>
      <c r="H753" s="193"/>
      <c r="I753" s="375"/>
      <c r="J753" s="363"/>
      <c r="K753" s="272"/>
      <c r="L753" s="272"/>
      <c r="M753" s="272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2.75" customHeight="1" x14ac:dyDescent="0.25">
      <c r="A754" s="184"/>
      <c r="B754" s="38"/>
      <c r="C754" s="229" t="s">
        <v>336</v>
      </c>
      <c r="D754" s="230"/>
      <c r="E754" s="231">
        <f>+'CALCULO TARIFAS CC '!S45</f>
        <v>0.81043158584157549</v>
      </c>
      <c r="F754" s="221">
        <f>+F581</f>
        <v>358588.84700000001</v>
      </c>
      <c r="G754" s="222">
        <f>+ROUND(G581,2)</f>
        <v>290611.73</v>
      </c>
      <c r="H754" s="193"/>
      <c r="I754" s="375"/>
      <c r="J754" s="363"/>
      <c r="K754" s="272"/>
      <c r="L754" s="272"/>
      <c r="M754" s="272"/>
      <c r="N754" s="344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2.75" customHeight="1" x14ac:dyDescent="0.25">
      <c r="A755" s="184"/>
      <c r="B755" s="38"/>
      <c r="C755" s="229" t="s">
        <v>337</v>
      </c>
      <c r="D755" s="230"/>
      <c r="E755" s="231">
        <f>+'CALCULO TARIFAS CC '!T45</f>
        <v>1.7013390165477578</v>
      </c>
      <c r="F755" s="221">
        <f>+F542</f>
        <v>781326.03</v>
      </c>
      <c r="G755" s="222">
        <f>+ROUND(G542,2)</f>
        <v>1329300.46</v>
      </c>
      <c r="H755" s="193"/>
      <c r="I755" s="375"/>
      <c r="J755" s="363"/>
      <c r="K755" s="272"/>
      <c r="L755" s="272"/>
      <c r="M755" s="272"/>
      <c r="N755" s="344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2.75" customHeight="1" thickBot="1" x14ac:dyDescent="0.3">
      <c r="A756" s="184"/>
      <c r="B756" s="38"/>
      <c r="C756" s="232" t="s">
        <v>338</v>
      </c>
      <c r="D756" s="233"/>
      <c r="E756" s="234">
        <f>+'CALCULO TARIFAS CC '!U45</f>
        <v>0.82386810577067515</v>
      </c>
      <c r="F756" s="223">
        <f>+F541</f>
        <v>737556.08010000002</v>
      </c>
      <c r="G756" s="224">
        <f>+ROUND(G541,2)</f>
        <v>607648.99</v>
      </c>
      <c r="H756" s="373"/>
      <c r="I756" s="375"/>
      <c r="J756" s="363"/>
      <c r="K756" s="272"/>
      <c r="L756" s="272"/>
      <c r="M756" s="272"/>
      <c r="N756" s="344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2.75" customHeight="1" thickBot="1" x14ac:dyDescent="0.3">
      <c r="A757" s="184"/>
      <c r="B757" s="38"/>
      <c r="C757" s="38"/>
      <c r="D757" s="38"/>
      <c r="E757" s="38"/>
      <c r="F757" s="225">
        <f t="shared" ref="F757:G757" si="79">SUM(F751:F756)</f>
        <v>3876380.8847877262</v>
      </c>
      <c r="G757" s="219">
        <f t="shared" si="79"/>
        <v>3842695.84</v>
      </c>
      <c r="H757" s="37"/>
      <c r="I757" s="38"/>
      <c r="J757" s="363"/>
      <c r="K757" s="272"/>
      <c r="L757" s="272"/>
      <c r="M757" s="38"/>
      <c r="N757" s="344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2.75" customHeight="1" x14ac:dyDescent="0.25">
      <c r="A758" s="184"/>
      <c r="B758" s="38"/>
      <c r="C758" s="38"/>
      <c r="D758" s="38"/>
      <c r="E758" s="38"/>
      <c r="F758" s="185"/>
      <c r="G758" s="194"/>
      <c r="I758" s="38"/>
      <c r="J758" s="211"/>
      <c r="K758" s="38"/>
      <c r="L758" s="27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2.75" customHeight="1" x14ac:dyDescent="0.25">
      <c r="A759" s="38"/>
      <c r="B759" s="38"/>
      <c r="C759" s="38"/>
      <c r="D759" s="38"/>
      <c r="E759" s="38"/>
      <c r="F759" s="185"/>
      <c r="G759" s="342"/>
      <c r="H759" s="37"/>
      <c r="I759" s="37"/>
      <c r="J759" s="212"/>
      <c r="K759" s="38"/>
      <c r="L759" s="27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2.75" customHeight="1" x14ac:dyDescent="0.25">
      <c r="A760" s="38"/>
      <c r="B760" s="38"/>
      <c r="C760" s="38"/>
      <c r="D760" s="38"/>
      <c r="E760" s="38"/>
      <c r="F760" s="185"/>
      <c r="G760" s="185"/>
      <c r="H760" s="37"/>
      <c r="I760" s="37"/>
      <c r="J760" s="37"/>
      <c r="K760" s="38"/>
      <c r="L760" s="27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2.75" customHeight="1" x14ac:dyDescent="0.25">
      <c r="A761" s="38"/>
      <c r="B761" s="38"/>
      <c r="C761" s="38"/>
      <c r="D761" s="38"/>
      <c r="E761" s="195"/>
      <c r="F761" s="196"/>
      <c r="G761" s="185"/>
      <c r="H761" s="37"/>
      <c r="I761" s="37"/>
      <c r="J761" s="37"/>
      <c r="K761" s="38"/>
      <c r="L761" s="27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2.75" customHeight="1" x14ac:dyDescent="0.25">
      <c r="A762" s="38"/>
      <c r="B762" s="38"/>
      <c r="C762" s="38"/>
      <c r="D762" s="38"/>
      <c r="E762" s="195"/>
      <c r="F762" s="185"/>
      <c r="G762" s="185"/>
      <c r="H762" s="37"/>
      <c r="I762" s="37"/>
      <c r="J762" s="37"/>
      <c r="K762" s="38"/>
      <c r="L762" s="27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2.75" customHeight="1" x14ac:dyDescent="0.25">
      <c r="A763" s="38"/>
      <c r="B763" s="38"/>
      <c r="C763" s="38"/>
      <c r="D763" s="38"/>
      <c r="E763" s="195"/>
      <c r="F763" s="185"/>
      <c r="G763" s="185"/>
      <c r="H763" s="37"/>
      <c r="I763" s="37"/>
      <c r="J763" s="37"/>
      <c r="K763" s="38"/>
      <c r="L763" s="27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2.75" customHeight="1" x14ac:dyDescent="0.25">
      <c r="A764" s="38"/>
      <c r="B764" s="38"/>
      <c r="C764" s="38"/>
      <c r="D764" s="38"/>
      <c r="E764" s="195"/>
      <c r="F764" s="185"/>
      <c r="G764" s="185"/>
      <c r="H764" s="286"/>
      <c r="I764" s="37"/>
      <c r="J764" s="37"/>
      <c r="K764" s="38"/>
      <c r="L764" s="27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2.75" customHeight="1" x14ac:dyDescent="0.25">
      <c r="A765" s="38"/>
      <c r="B765" s="38"/>
      <c r="C765" s="38"/>
      <c r="D765" s="38"/>
      <c r="E765" s="195"/>
      <c r="F765" s="185"/>
      <c r="G765" s="185"/>
      <c r="H765" s="37"/>
      <c r="I765" s="37"/>
      <c r="J765" s="37"/>
      <c r="K765" s="38"/>
      <c r="L765" s="27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2.75" customHeight="1" x14ac:dyDescent="0.25">
      <c r="A766" s="38"/>
      <c r="B766" s="38"/>
      <c r="C766" s="38"/>
      <c r="D766" s="38"/>
      <c r="E766" s="38"/>
      <c r="F766" s="185"/>
      <c r="G766" s="185"/>
      <c r="H766" s="37"/>
      <c r="I766" s="37"/>
      <c r="J766" s="37"/>
      <c r="K766" s="197"/>
      <c r="L766" s="27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2.75" customHeight="1" x14ac:dyDescent="0.25">
      <c r="A767" s="38"/>
      <c r="B767" s="38"/>
      <c r="C767" s="38"/>
      <c r="D767" s="38"/>
      <c r="E767" s="38"/>
      <c r="F767" s="185"/>
      <c r="G767" s="36"/>
      <c r="H767" s="37"/>
      <c r="I767" s="37"/>
      <c r="J767" s="37"/>
      <c r="K767" s="38"/>
      <c r="L767" s="27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2.75" customHeight="1" x14ac:dyDescent="0.25">
      <c r="A768" s="38"/>
      <c r="B768" s="38"/>
      <c r="C768" s="38"/>
      <c r="D768" s="38"/>
      <c r="E768" s="38"/>
      <c r="F768" s="185"/>
      <c r="G768" s="185"/>
      <c r="H768" s="37"/>
      <c r="I768" s="37"/>
      <c r="J768" s="37"/>
      <c r="K768" s="38"/>
      <c r="L768" s="27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2.75" customHeight="1" x14ac:dyDescent="0.25">
      <c r="A769" s="38"/>
      <c r="B769" s="38"/>
      <c r="C769" s="38"/>
      <c r="D769" s="38"/>
      <c r="E769" s="38"/>
      <c r="F769" s="185"/>
      <c r="G769" s="337"/>
      <c r="H769" s="37"/>
      <c r="I769" s="37"/>
      <c r="J769" s="37"/>
      <c r="K769" s="38"/>
      <c r="L769" s="27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2.75" customHeight="1" x14ac:dyDescent="0.25">
      <c r="A770" s="38"/>
      <c r="B770" s="38"/>
      <c r="C770" s="38"/>
      <c r="D770" s="38"/>
      <c r="E770" s="38"/>
      <c r="F770" s="185"/>
      <c r="G770" s="185"/>
      <c r="H770" s="37"/>
      <c r="I770" s="37"/>
      <c r="J770" s="37"/>
      <c r="K770" s="38"/>
      <c r="L770" s="27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2.75" customHeight="1" x14ac:dyDescent="0.25">
      <c r="A771" s="38"/>
      <c r="B771" s="38"/>
      <c r="C771" s="38"/>
      <c r="D771" s="38"/>
      <c r="E771" s="38"/>
      <c r="F771" s="185"/>
      <c r="G771" s="185"/>
      <c r="H771" s="37"/>
      <c r="I771" s="37"/>
      <c r="J771" s="37"/>
      <c r="K771" s="38"/>
      <c r="L771" s="27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2.75" customHeight="1" x14ac:dyDescent="0.25">
      <c r="A772" s="38"/>
      <c r="B772" s="38"/>
      <c r="C772" s="38"/>
      <c r="D772" s="38"/>
      <c r="E772" s="38"/>
      <c r="F772" s="185"/>
      <c r="G772" s="185"/>
      <c r="H772" s="37"/>
      <c r="I772" s="37"/>
      <c r="J772" s="37"/>
      <c r="K772" s="38"/>
      <c r="L772" s="27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2.75" customHeight="1" x14ac:dyDescent="0.25">
      <c r="A773" s="38"/>
      <c r="B773" s="38"/>
      <c r="C773" s="38"/>
      <c r="D773" s="38"/>
      <c r="E773" s="38"/>
      <c r="F773" s="185"/>
      <c r="G773" s="185"/>
      <c r="H773" s="37"/>
      <c r="I773" s="37"/>
      <c r="J773" s="37"/>
      <c r="K773" s="38"/>
      <c r="L773" s="27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2.75" customHeight="1" x14ac:dyDescent="0.25">
      <c r="A774" s="184"/>
      <c r="B774" s="38"/>
      <c r="C774" s="38"/>
      <c r="D774" s="38"/>
      <c r="E774" s="38"/>
      <c r="F774" s="185"/>
      <c r="G774" s="185"/>
      <c r="H774" s="37"/>
      <c r="I774" s="37"/>
      <c r="J774" s="37"/>
      <c r="K774" s="38"/>
      <c r="L774" s="27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2.75" customHeight="1" x14ac:dyDescent="0.25">
      <c r="A775" s="184"/>
      <c r="B775" s="38"/>
      <c r="C775" s="38"/>
      <c r="D775" s="38"/>
      <c r="E775" s="38"/>
      <c r="F775" s="185"/>
      <c r="G775" s="185"/>
      <c r="H775" s="37"/>
      <c r="I775" s="37"/>
      <c r="J775" s="37"/>
      <c r="K775" s="38"/>
      <c r="L775" s="27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2.75" customHeight="1" x14ac:dyDescent="0.25">
      <c r="A776" s="184"/>
      <c r="B776" s="38"/>
      <c r="C776" s="38"/>
      <c r="D776" s="38"/>
      <c r="E776" s="38"/>
      <c r="F776" s="38"/>
      <c r="G776" s="38"/>
      <c r="H776" s="37"/>
      <c r="I776" s="37"/>
      <c r="J776" s="37"/>
      <c r="K776" s="38"/>
      <c r="L776" s="27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2.75" customHeight="1" x14ac:dyDescent="0.25">
      <c r="A777" s="184"/>
      <c r="B777" s="38"/>
      <c r="C777" s="38"/>
      <c r="D777" s="38"/>
      <c r="E777" s="38"/>
      <c r="F777" s="185"/>
      <c r="G777" s="186"/>
      <c r="H777" s="37"/>
      <c r="I777" s="37"/>
      <c r="J777" s="37"/>
      <c r="K777" s="38"/>
      <c r="L777" s="27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2.75" customHeight="1" x14ac:dyDescent="0.25">
      <c r="A778" s="184"/>
      <c r="B778" s="38"/>
      <c r="C778" s="38"/>
      <c r="D778" s="38"/>
      <c r="E778" s="38"/>
      <c r="F778" s="185"/>
      <c r="G778" s="186"/>
      <c r="H778" s="37"/>
      <c r="I778" s="37"/>
      <c r="J778" s="37"/>
      <c r="K778" s="38"/>
      <c r="L778" s="27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2.75" customHeight="1" x14ac:dyDescent="0.25">
      <c r="A779" s="184"/>
      <c r="B779" s="38"/>
      <c r="C779" s="38"/>
      <c r="D779" s="38"/>
      <c r="E779" s="38"/>
      <c r="F779" s="185"/>
      <c r="G779" s="186"/>
      <c r="H779" s="37"/>
      <c r="I779" s="37"/>
      <c r="J779" s="37"/>
      <c r="K779" s="38"/>
      <c r="L779" s="27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2.75" customHeight="1" x14ac:dyDescent="0.25">
      <c r="A780" s="184"/>
      <c r="B780" s="38"/>
      <c r="C780" s="38"/>
      <c r="D780" s="38"/>
      <c r="E780" s="38"/>
      <c r="F780" s="185"/>
      <c r="G780" s="186"/>
      <c r="H780" s="37"/>
      <c r="I780" s="37"/>
      <c r="J780" s="37"/>
      <c r="K780" s="38"/>
      <c r="L780" s="27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2.75" customHeight="1" x14ac:dyDescent="0.25">
      <c r="A781" s="184"/>
      <c r="B781" s="38"/>
      <c r="C781" s="38"/>
      <c r="D781" s="38"/>
      <c r="E781" s="38"/>
      <c r="F781" s="185"/>
      <c r="G781" s="186"/>
      <c r="H781" s="37"/>
      <c r="I781" s="37"/>
      <c r="J781" s="37"/>
      <c r="K781" s="38"/>
      <c r="L781" s="27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2.75" customHeight="1" x14ac:dyDescent="0.25">
      <c r="A782" s="184"/>
      <c r="B782" s="38"/>
      <c r="C782" s="38"/>
      <c r="D782" s="38"/>
      <c r="E782" s="38"/>
      <c r="F782" s="185"/>
      <c r="G782" s="186"/>
      <c r="H782" s="37"/>
      <c r="I782" s="37"/>
      <c r="J782" s="37"/>
      <c r="K782" s="38"/>
      <c r="L782" s="27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2.75" customHeight="1" x14ac:dyDescent="0.25">
      <c r="A783" s="184"/>
      <c r="B783" s="38"/>
      <c r="C783" s="38"/>
      <c r="D783" s="38"/>
      <c r="E783" s="38"/>
      <c r="F783" s="185"/>
      <c r="G783" s="186"/>
      <c r="H783" s="37"/>
      <c r="I783" s="37"/>
      <c r="J783" s="37"/>
      <c r="K783" s="38"/>
      <c r="L783" s="27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2.75" customHeight="1" x14ac:dyDescent="0.25">
      <c r="A784" s="184"/>
      <c r="B784" s="38"/>
      <c r="C784" s="38"/>
      <c r="D784" s="38"/>
      <c r="E784" s="38"/>
      <c r="F784" s="185"/>
      <c r="G784" s="186"/>
      <c r="H784" s="37"/>
      <c r="I784" s="37"/>
      <c r="J784" s="37"/>
      <c r="K784" s="38"/>
      <c r="L784" s="27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2.75" customHeight="1" x14ac:dyDescent="0.25">
      <c r="A785" s="184"/>
      <c r="B785" s="38"/>
      <c r="C785" s="38"/>
      <c r="D785" s="38"/>
      <c r="E785" s="38"/>
      <c r="F785" s="185"/>
      <c r="G785" s="186"/>
      <c r="H785" s="37"/>
      <c r="I785" s="37"/>
      <c r="J785" s="37"/>
      <c r="K785" s="38"/>
      <c r="L785" s="27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2.75" customHeight="1" x14ac:dyDescent="0.25">
      <c r="A786" s="184"/>
      <c r="B786" s="38"/>
      <c r="C786" s="38"/>
      <c r="D786" s="38"/>
      <c r="E786" s="38"/>
      <c r="F786" s="185"/>
      <c r="G786" s="186"/>
      <c r="H786" s="37"/>
      <c r="I786" s="37"/>
      <c r="J786" s="37"/>
      <c r="K786" s="38"/>
      <c r="L786" s="27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2.75" customHeight="1" x14ac:dyDescent="0.25">
      <c r="A787" s="184"/>
      <c r="B787" s="38"/>
      <c r="C787" s="38"/>
      <c r="D787" s="38"/>
      <c r="E787" s="38"/>
      <c r="F787" s="185"/>
      <c r="G787" s="186"/>
      <c r="H787" s="37"/>
      <c r="I787" s="37"/>
      <c r="J787" s="37"/>
      <c r="K787" s="38"/>
      <c r="L787" s="27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2.75" customHeight="1" x14ac:dyDescent="0.25">
      <c r="A788" s="184"/>
      <c r="B788" s="38"/>
      <c r="C788" s="38"/>
      <c r="D788" s="38"/>
      <c r="E788" s="38"/>
      <c r="F788" s="185"/>
      <c r="G788" s="186"/>
      <c r="H788" s="37"/>
      <c r="I788" s="37"/>
      <c r="J788" s="37"/>
      <c r="K788" s="38"/>
      <c r="L788" s="27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2.75" customHeight="1" x14ac:dyDescent="0.25">
      <c r="A789" s="184"/>
      <c r="B789" s="38"/>
      <c r="C789" s="38"/>
      <c r="D789" s="38"/>
      <c r="E789" s="38"/>
      <c r="F789" s="185"/>
      <c r="G789" s="186"/>
      <c r="H789" s="37"/>
      <c r="I789" s="37"/>
      <c r="J789" s="37"/>
      <c r="K789" s="38"/>
      <c r="L789" s="27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2.75" customHeight="1" x14ac:dyDescent="0.25">
      <c r="A790" s="184"/>
      <c r="B790" s="38"/>
      <c r="C790" s="38"/>
      <c r="D790" s="38"/>
      <c r="E790" s="38"/>
      <c r="F790" s="185"/>
      <c r="G790" s="186"/>
      <c r="H790" s="37"/>
      <c r="I790" s="37"/>
      <c r="J790" s="37"/>
      <c r="K790" s="38"/>
      <c r="L790" s="27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2.75" customHeight="1" x14ac:dyDescent="0.25">
      <c r="A791" s="184"/>
      <c r="B791" s="38"/>
      <c r="C791" s="38"/>
      <c r="D791" s="38"/>
      <c r="E791" s="38"/>
      <c r="F791" s="185"/>
      <c r="G791" s="186"/>
      <c r="H791" s="37"/>
      <c r="I791" s="37"/>
      <c r="J791" s="37"/>
      <c r="K791" s="38"/>
      <c r="L791" s="27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2.75" customHeight="1" x14ac:dyDescent="0.25">
      <c r="A792" s="184"/>
      <c r="B792" s="38"/>
      <c r="C792" s="38"/>
      <c r="D792" s="38"/>
      <c r="E792" s="38"/>
      <c r="F792" s="185"/>
      <c r="G792" s="186"/>
      <c r="H792" s="37"/>
      <c r="I792" s="37"/>
      <c r="J792" s="37"/>
      <c r="K792" s="38"/>
      <c r="L792" s="27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2.75" customHeight="1" x14ac:dyDescent="0.25">
      <c r="A793" s="184"/>
      <c r="B793" s="38"/>
      <c r="C793" s="38"/>
      <c r="D793" s="38"/>
      <c r="E793" s="38"/>
      <c r="F793" s="185"/>
      <c r="G793" s="186"/>
      <c r="H793" s="37"/>
      <c r="I793" s="37"/>
      <c r="J793" s="37"/>
      <c r="K793" s="38"/>
      <c r="L793" s="27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2.75" customHeight="1" x14ac:dyDescent="0.25">
      <c r="A794" s="184"/>
      <c r="B794" s="38"/>
      <c r="C794" s="38"/>
      <c r="D794" s="38"/>
      <c r="E794" s="38"/>
      <c r="F794" s="185"/>
      <c r="G794" s="186"/>
      <c r="H794" s="37"/>
      <c r="I794" s="37"/>
      <c r="J794" s="37"/>
      <c r="K794" s="38"/>
      <c r="L794" s="27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2.75" customHeight="1" x14ac:dyDescent="0.25">
      <c r="A795" s="184"/>
      <c r="B795" s="38"/>
      <c r="C795" s="38"/>
      <c r="D795" s="38"/>
      <c r="E795" s="38"/>
      <c r="F795" s="185"/>
      <c r="G795" s="186"/>
      <c r="H795" s="37"/>
      <c r="I795" s="37"/>
      <c r="J795" s="37"/>
      <c r="K795" s="38"/>
      <c r="L795" s="27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2.75" customHeight="1" x14ac:dyDescent="0.25">
      <c r="A796" s="184"/>
      <c r="B796" s="38"/>
      <c r="C796" s="38"/>
      <c r="D796" s="38"/>
      <c r="E796" s="38"/>
      <c r="F796" s="185"/>
      <c r="G796" s="186"/>
      <c r="H796" s="37"/>
      <c r="I796" s="37"/>
      <c r="J796" s="37"/>
      <c r="K796" s="38"/>
      <c r="L796" s="27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2.75" customHeight="1" x14ac:dyDescent="0.25">
      <c r="A797" s="184"/>
      <c r="B797" s="38"/>
      <c r="C797" s="38"/>
      <c r="D797" s="38"/>
      <c r="E797" s="38"/>
      <c r="F797" s="185"/>
      <c r="G797" s="186"/>
      <c r="H797" s="37"/>
      <c r="I797" s="37"/>
      <c r="J797" s="37"/>
      <c r="K797" s="38"/>
      <c r="L797" s="27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2.75" customHeight="1" x14ac:dyDescent="0.25">
      <c r="A798" s="184"/>
      <c r="B798" s="38"/>
      <c r="C798" s="38"/>
      <c r="D798" s="38"/>
      <c r="E798" s="38"/>
      <c r="F798" s="185"/>
      <c r="G798" s="186"/>
      <c r="H798" s="37"/>
      <c r="I798" s="37"/>
      <c r="J798" s="37"/>
      <c r="K798" s="38"/>
      <c r="L798" s="27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2.75" customHeight="1" x14ac:dyDescent="0.25">
      <c r="A799" s="184"/>
      <c r="B799" s="38"/>
      <c r="C799" s="38"/>
      <c r="D799" s="38"/>
      <c r="E799" s="38"/>
      <c r="F799" s="185"/>
      <c r="G799" s="186"/>
      <c r="H799" s="37"/>
      <c r="I799" s="37"/>
      <c r="J799" s="37"/>
      <c r="K799" s="38"/>
      <c r="L799" s="27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2.75" customHeight="1" x14ac:dyDescent="0.25">
      <c r="A800" s="184"/>
      <c r="B800" s="38"/>
      <c r="C800" s="38"/>
      <c r="D800" s="38"/>
      <c r="E800" s="38"/>
      <c r="F800" s="185"/>
      <c r="G800" s="186"/>
      <c r="H800" s="37"/>
      <c r="I800" s="37"/>
      <c r="J800" s="37"/>
      <c r="K800" s="38"/>
      <c r="L800" s="27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2.75" customHeight="1" x14ac:dyDescent="0.25">
      <c r="A801" s="184"/>
      <c r="B801" s="38"/>
      <c r="C801" s="38"/>
      <c r="D801" s="38"/>
      <c r="E801" s="38"/>
      <c r="F801" s="185"/>
      <c r="G801" s="186"/>
      <c r="H801" s="37"/>
      <c r="I801" s="37"/>
      <c r="J801" s="37"/>
      <c r="K801" s="38"/>
      <c r="L801" s="27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2.75" customHeight="1" x14ac:dyDescent="0.25">
      <c r="A802" s="184"/>
      <c r="B802" s="38"/>
      <c r="C802" s="38"/>
      <c r="D802" s="38"/>
      <c r="E802" s="38"/>
      <c r="F802" s="185"/>
      <c r="G802" s="186"/>
      <c r="H802" s="37"/>
      <c r="I802" s="37"/>
      <c r="J802" s="37"/>
      <c r="K802" s="38"/>
      <c r="L802" s="27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2.75" customHeight="1" x14ac:dyDescent="0.25">
      <c r="A803" s="184"/>
      <c r="B803" s="38"/>
      <c r="C803" s="38"/>
      <c r="D803" s="38"/>
      <c r="E803" s="38"/>
      <c r="F803" s="185"/>
      <c r="G803" s="186"/>
      <c r="H803" s="37"/>
      <c r="I803" s="37"/>
      <c r="J803" s="37"/>
      <c r="K803" s="38"/>
      <c r="L803" s="27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2.75" customHeight="1" x14ac:dyDescent="0.25">
      <c r="A804" s="184"/>
      <c r="B804" s="38"/>
      <c r="C804" s="38"/>
      <c r="D804" s="38"/>
      <c r="E804" s="38"/>
      <c r="F804" s="185"/>
      <c r="G804" s="186"/>
      <c r="H804" s="37"/>
      <c r="I804" s="37"/>
      <c r="J804" s="37"/>
      <c r="K804" s="38"/>
      <c r="L804" s="27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2.75" customHeight="1" x14ac:dyDescent="0.25">
      <c r="A805" s="184"/>
      <c r="B805" s="38"/>
      <c r="C805" s="38"/>
      <c r="D805" s="38"/>
      <c r="E805" s="38"/>
      <c r="F805" s="185"/>
      <c r="G805" s="186"/>
      <c r="H805" s="37"/>
      <c r="I805" s="37"/>
      <c r="J805" s="37"/>
      <c r="K805" s="38"/>
      <c r="L805" s="27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2.75" customHeight="1" x14ac:dyDescent="0.25">
      <c r="A806" s="184"/>
      <c r="B806" s="38"/>
      <c r="C806" s="38"/>
      <c r="D806" s="38"/>
      <c r="E806" s="38"/>
      <c r="F806" s="185"/>
      <c r="G806" s="186"/>
      <c r="H806" s="37"/>
      <c r="I806" s="37"/>
      <c r="J806" s="37"/>
      <c r="K806" s="38"/>
      <c r="L806" s="27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2.75" customHeight="1" x14ac:dyDescent="0.25">
      <c r="A807" s="184"/>
      <c r="B807" s="38"/>
      <c r="C807" s="38"/>
      <c r="D807" s="38"/>
      <c r="E807" s="38"/>
      <c r="F807" s="185"/>
      <c r="G807" s="186"/>
      <c r="H807" s="37"/>
      <c r="I807" s="37"/>
      <c r="J807" s="37"/>
      <c r="K807" s="38"/>
      <c r="L807" s="27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2.75" customHeight="1" x14ac:dyDescent="0.25">
      <c r="A808" s="184"/>
      <c r="B808" s="38"/>
      <c r="C808" s="38"/>
      <c r="D808" s="38"/>
      <c r="E808" s="38"/>
      <c r="F808" s="185"/>
      <c r="G808" s="186"/>
      <c r="H808" s="37"/>
      <c r="I808" s="37"/>
      <c r="J808" s="37"/>
      <c r="K808" s="38"/>
      <c r="L808" s="27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2.75" customHeight="1" x14ac:dyDescent="0.25">
      <c r="A809" s="184"/>
      <c r="B809" s="38"/>
      <c r="C809" s="38"/>
      <c r="D809" s="38"/>
      <c r="E809" s="38"/>
      <c r="F809" s="185"/>
      <c r="G809" s="186"/>
      <c r="H809" s="37"/>
      <c r="I809" s="37"/>
      <c r="J809" s="37"/>
      <c r="K809" s="38"/>
      <c r="L809" s="27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2.75" customHeight="1" x14ac:dyDescent="0.25">
      <c r="A810" s="184"/>
      <c r="B810" s="38"/>
      <c r="C810" s="38"/>
      <c r="D810" s="38"/>
      <c r="E810" s="38"/>
      <c r="F810" s="185"/>
      <c r="G810" s="186"/>
      <c r="H810" s="37"/>
      <c r="I810" s="37"/>
      <c r="J810" s="37"/>
      <c r="K810" s="38"/>
      <c r="L810" s="27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2.75" customHeight="1" x14ac:dyDescent="0.25">
      <c r="A811" s="184"/>
      <c r="B811" s="38"/>
      <c r="C811" s="38"/>
      <c r="D811" s="38"/>
      <c r="E811" s="38"/>
      <c r="F811" s="185"/>
      <c r="G811" s="186"/>
      <c r="H811" s="37"/>
      <c r="I811" s="37"/>
      <c r="J811" s="37"/>
      <c r="K811" s="38"/>
      <c r="L811" s="27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2.75" customHeight="1" x14ac:dyDescent="0.25">
      <c r="A812" s="184"/>
      <c r="B812" s="38"/>
      <c r="C812" s="38"/>
      <c r="D812" s="38"/>
      <c r="E812" s="38"/>
      <c r="F812" s="185"/>
      <c r="G812" s="186"/>
      <c r="H812" s="37"/>
      <c r="I812" s="37"/>
      <c r="J812" s="37"/>
      <c r="K812" s="38"/>
      <c r="L812" s="27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2.75" customHeight="1" x14ac:dyDescent="0.25">
      <c r="A813" s="184"/>
      <c r="B813" s="38"/>
      <c r="C813" s="38"/>
      <c r="D813" s="38"/>
      <c r="E813" s="38"/>
      <c r="F813" s="185"/>
      <c r="G813" s="186"/>
      <c r="H813" s="37"/>
      <c r="I813" s="37"/>
      <c r="J813" s="37"/>
      <c r="K813" s="38"/>
      <c r="L813" s="27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2.75" customHeight="1" x14ac:dyDescent="0.25">
      <c r="A814" s="184"/>
      <c r="B814" s="38"/>
      <c r="C814" s="38"/>
      <c r="D814" s="38"/>
      <c r="E814" s="38"/>
      <c r="F814" s="185"/>
      <c r="G814" s="186"/>
      <c r="H814" s="37"/>
      <c r="I814" s="37"/>
      <c r="J814" s="37"/>
      <c r="K814" s="38"/>
      <c r="L814" s="27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2.75" customHeight="1" x14ac:dyDescent="0.25">
      <c r="A815" s="184"/>
      <c r="B815" s="38"/>
      <c r="C815" s="38"/>
      <c r="D815" s="38"/>
      <c r="E815" s="38"/>
      <c r="F815" s="185"/>
      <c r="G815" s="186"/>
      <c r="H815" s="37"/>
      <c r="I815" s="37"/>
      <c r="J815" s="37"/>
      <c r="K815" s="38"/>
      <c r="L815" s="27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2.75" customHeight="1" x14ac:dyDescent="0.25">
      <c r="A816" s="184"/>
      <c r="B816" s="38"/>
      <c r="C816" s="38"/>
      <c r="D816" s="38"/>
      <c r="E816" s="38"/>
      <c r="F816" s="185"/>
      <c r="G816" s="186"/>
      <c r="H816" s="37"/>
      <c r="I816" s="37"/>
      <c r="J816" s="37"/>
      <c r="K816" s="38"/>
      <c r="L816" s="27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2.75" customHeight="1" x14ac:dyDescent="0.25">
      <c r="A817" s="184"/>
      <c r="B817" s="38"/>
      <c r="C817" s="38"/>
      <c r="D817" s="38"/>
      <c r="E817" s="38"/>
      <c r="F817" s="185"/>
      <c r="G817" s="186"/>
      <c r="H817" s="37"/>
      <c r="I817" s="37"/>
      <c r="J817" s="37"/>
      <c r="K817" s="38"/>
      <c r="L817" s="27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2.75" customHeight="1" x14ac:dyDescent="0.25">
      <c r="A818" s="184"/>
      <c r="B818" s="38"/>
      <c r="C818" s="38"/>
      <c r="D818" s="38"/>
      <c r="E818" s="38"/>
      <c r="F818" s="185"/>
      <c r="G818" s="186"/>
      <c r="H818" s="37"/>
      <c r="I818" s="37"/>
      <c r="J818" s="37"/>
      <c r="K818" s="38"/>
      <c r="L818" s="27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2.75" customHeight="1" x14ac:dyDescent="0.25">
      <c r="A819" s="184"/>
      <c r="B819" s="38"/>
      <c r="C819" s="38"/>
      <c r="D819" s="38"/>
      <c r="E819" s="38"/>
      <c r="F819" s="185"/>
      <c r="G819" s="186"/>
      <c r="H819" s="37"/>
      <c r="I819" s="37"/>
      <c r="J819" s="37"/>
      <c r="K819" s="38"/>
      <c r="L819" s="27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2.75" customHeight="1" x14ac:dyDescent="0.25">
      <c r="A820" s="184"/>
      <c r="B820" s="38"/>
      <c r="C820" s="38"/>
      <c r="D820" s="38"/>
      <c r="E820" s="38"/>
      <c r="F820" s="185"/>
      <c r="G820" s="186"/>
      <c r="H820" s="37"/>
      <c r="I820" s="37"/>
      <c r="J820" s="37"/>
      <c r="K820" s="38"/>
      <c r="L820" s="27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2.75" customHeight="1" x14ac:dyDescent="0.25">
      <c r="A821" s="184"/>
      <c r="B821" s="38"/>
      <c r="C821" s="38"/>
      <c r="D821" s="38"/>
      <c r="E821" s="38"/>
      <c r="F821" s="185"/>
      <c r="G821" s="186"/>
      <c r="H821" s="37"/>
      <c r="I821" s="37"/>
      <c r="J821" s="37"/>
      <c r="K821" s="38"/>
      <c r="L821" s="27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2.75" customHeight="1" x14ac:dyDescent="0.25">
      <c r="A822" s="184"/>
      <c r="B822" s="38"/>
      <c r="C822" s="38"/>
      <c r="D822" s="38"/>
      <c r="E822" s="38"/>
      <c r="F822" s="185"/>
      <c r="G822" s="186"/>
      <c r="H822" s="37"/>
      <c r="I822" s="37"/>
      <c r="J822" s="37"/>
      <c r="K822" s="38"/>
      <c r="L822" s="27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2.75" customHeight="1" x14ac:dyDescent="0.25">
      <c r="A823" s="184"/>
      <c r="B823" s="38"/>
      <c r="C823" s="38"/>
      <c r="D823" s="38"/>
      <c r="E823" s="38"/>
      <c r="F823" s="185"/>
      <c r="G823" s="186"/>
      <c r="H823" s="37"/>
      <c r="I823" s="37"/>
      <c r="J823" s="37"/>
      <c r="K823" s="38"/>
      <c r="L823" s="27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2.75" customHeight="1" x14ac:dyDescent="0.25">
      <c r="A824" s="184"/>
      <c r="B824" s="38"/>
      <c r="C824" s="38"/>
      <c r="D824" s="38"/>
      <c r="E824" s="38"/>
      <c r="F824" s="185"/>
      <c r="G824" s="186"/>
      <c r="H824" s="37"/>
      <c r="I824" s="37"/>
      <c r="J824" s="37"/>
      <c r="K824" s="38"/>
      <c r="L824" s="27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2.75" customHeight="1" x14ac:dyDescent="0.25">
      <c r="A825" s="184"/>
      <c r="B825" s="38"/>
      <c r="C825" s="38"/>
      <c r="D825" s="38"/>
      <c r="E825" s="38"/>
      <c r="F825" s="185"/>
      <c r="G825" s="186"/>
      <c r="H825" s="37"/>
      <c r="I825" s="37"/>
      <c r="J825" s="37"/>
      <c r="K825" s="38"/>
      <c r="L825" s="27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2.75" customHeight="1" x14ac:dyDescent="0.25">
      <c r="A826" s="184"/>
      <c r="B826" s="38"/>
      <c r="C826" s="38"/>
      <c r="D826" s="38"/>
      <c r="E826" s="38"/>
      <c r="F826" s="185"/>
      <c r="G826" s="186"/>
      <c r="H826" s="37"/>
      <c r="I826" s="37"/>
      <c r="J826" s="37"/>
      <c r="K826" s="38"/>
      <c r="L826" s="27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2.75" customHeight="1" x14ac:dyDescent="0.25">
      <c r="A827" s="184"/>
      <c r="B827" s="38"/>
      <c r="C827" s="38"/>
      <c r="D827" s="38"/>
      <c r="E827" s="38"/>
      <c r="F827" s="185"/>
      <c r="G827" s="186"/>
      <c r="H827" s="37"/>
      <c r="I827" s="37"/>
      <c r="J827" s="37"/>
      <c r="K827" s="38"/>
      <c r="L827" s="27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2.75" customHeight="1" x14ac:dyDescent="0.25">
      <c r="A828" s="184"/>
      <c r="B828" s="38"/>
      <c r="C828" s="38"/>
      <c r="D828" s="38"/>
      <c r="E828" s="38"/>
      <c r="F828" s="185"/>
      <c r="G828" s="186"/>
      <c r="H828" s="37"/>
      <c r="I828" s="37"/>
      <c r="J828" s="37"/>
      <c r="K828" s="38"/>
      <c r="L828" s="27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2.75" customHeight="1" x14ac:dyDescent="0.25">
      <c r="A829" s="184"/>
      <c r="B829" s="38"/>
      <c r="C829" s="38"/>
      <c r="D829" s="38"/>
      <c r="E829" s="38"/>
      <c r="F829" s="185"/>
      <c r="G829" s="186"/>
      <c r="H829" s="37"/>
      <c r="I829" s="37"/>
      <c r="J829" s="37"/>
      <c r="K829" s="38"/>
      <c r="L829" s="27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2.75" customHeight="1" x14ac:dyDescent="0.25">
      <c r="A830" s="184"/>
      <c r="B830" s="38"/>
      <c r="C830" s="38"/>
      <c r="D830" s="38"/>
      <c r="E830" s="38"/>
      <c r="F830" s="185"/>
      <c r="G830" s="186"/>
      <c r="H830" s="37"/>
      <c r="I830" s="37"/>
      <c r="J830" s="37"/>
      <c r="K830" s="38"/>
      <c r="L830" s="27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2.75" customHeight="1" x14ac:dyDescent="0.25">
      <c r="A831" s="184"/>
      <c r="B831" s="38"/>
      <c r="C831" s="38"/>
      <c r="D831" s="38"/>
      <c r="E831" s="38"/>
      <c r="F831" s="185"/>
      <c r="G831" s="186"/>
      <c r="H831" s="37"/>
      <c r="I831" s="37"/>
      <c r="J831" s="37"/>
      <c r="K831" s="38"/>
      <c r="L831" s="27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2.75" customHeight="1" x14ac:dyDescent="0.25">
      <c r="A832" s="184"/>
      <c r="B832" s="38"/>
      <c r="C832" s="38"/>
      <c r="D832" s="38"/>
      <c r="E832" s="38"/>
      <c r="F832" s="185"/>
      <c r="G832" s="186"/>
      <c r="H832" s="37"/>
      <c r="I832" s="37"/>
      <c r="J832" s="37"/>
      <c r="K832" s="38"/>
      <c r="L832" s="27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2.75" customHeight="1" x14ac:dyDescent="0.25">
      <c r="A833" s="184"/>
      <c r="B833" s="38"/>
      <c r="C833" s="38"/>
      <c r="D833" s="38"/>
      <c r="E833" s="38"/>
      <c r="F833" s="185"/>
      <c r="G833" s="186"/>
      <c r="H833" s="37"/>
      <c r="I833" s="37"/>
      <c r="J833" s="37"/>
      <c r="K833" s="38"/>
      <c r="L833" s="27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2.75" customHeight="1" x14ac:dyDescent="0.25">
      <c r="A834" s="184"/>
      <c r="B834" s="38"/>
      <c r="C834" s="38"/>
      <c r="D834" s="38"/>
      <c r="E834" s="38"/>
      <c r="F834" s="185"/>
      <c r="G834" s="186"/>
      <c r="H834" s="37"/>
      <c r="I834" s="37"/>
      <c r="J834" s="37"/>
      <c r="K834" s="38"/>
      <c r="L834" s="27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2.75" customHeight="1" x14ac:dyDescent="0.25">
      <c r="A835" s="184"/>
      <c r="B835" s="38"/>
      <c r="C835" s="38"/>
      <c r="D835" s="38"/>
      <c r="E835" s="38"/>
      <c r="F835" s="185"/>
      <c r="G835" s="186"/>
      <c r="H835" s="37"/>
      <c r="I835" s="37"/>
      <c r="J835" s="37"/>
      <c r="K835" s="38"/>
      <c r="L835" s="27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2.75" customHeight="1" x14ac:dyDescent="0.25">
      <c r="A836" s="184"/>
      <c r="B836" s="38"/>
      <c r="C836" s="38"/>
      <c r="D836" s="38"/>
      <c r="E836" s="38"/>
      <c r="F836" s="185"/>
      <c r="G836" s="186"/>
      <c r="H836" s="37"/>
      <c r="I836" s="37"/>
      <c r="J836" s="37"/>
      <c r="K836" s="38"/>
      <c r="L836" s="27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2.75" customHeight="1" x14ac:dyDescent="0.25">
      <c r="A837" s="184"/>
      <c r="B837" s="38"/>
      <c r="C837" s="38"/>
      <c r="D837" s="38"/>
      <c r="E837" s="38"/>
      <c r="F837" s="185"/>
      <c r="G837" s="186"/>
      <c r="H837" s="37"/>
      <c r="I837" s="37"/>
      <c r="J837" s="37"/>
      <c r="K837" s="38"/>
      <c r="L837" s="27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2.75" customHeight="1" x14ac:dyDescent="0.25">
      <c r="A838" s="184"/>
      <c r="B838" s="38"/>
      <c r="C838" s="38"/>
      <c r="D838" s="38"/>
      <c r="E838" s="38"/>
      <c r="F838" s="185"/>
      <c r="G838" s="186"/>
      <c r="H838" s="37"/>
      <c r="I838" s="37"/>
      <c r="J838" s="37"/>
      <c r="K838" s="38"/>
      <c r="L838" s="27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2.75" customHeight="1" x14ac:dyDescent="0.25">
      <c r="A839" s="184"/>
      <c r="B839" s="38"/>
      <c r="C839" s="38"/>
      <c r="D839" s="38"/>
      <c r="E839" s="38"/>
      <c r="F839" s="185"/>
      <c r="G839" s="186"/>
      <c r="H839" s="37"/>
      <c r="I839" s="37"/>
      <c r="J839" s="37"/>
      <c r="K839" s="38"/>
      <c r="L839" s="27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2.75" customHeight="1" x14ac:dyDescent="0.25">
      <c r="A840" s="184"/>
      <c r="B840" s="38"/>
      <c r="C840" s="38"/>
      <c r="D840" s="38"/>
      <c r="E840" s="38"/>
      <c r="F840" s="185"/>
      <c r="G840" s="186"/>
      <c r="H840" s="37"/>
      <c r="I840" s="37"/>
      <c r="J840" s="37"/>
      <c r="K840" s="38"/>
      <c r="L840" s="27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2.75" customHeight="1" x14ac:dyDescent="0.25">
      <c r="A841" s="184"/>
      <c r="B841" s="38"/>
      <c r="C841" s="38"/>
      <c r="D841" s="38"/>
      <c r="E841" s="38"/>
      <c r="F841" s="185"/>
      <c r="G841" s="186"/>
      <c r="H841" s="37"/>
      <c r="I841" s="37"/>
      <c r="J841" s="37"/>
      <c r="K841" s="38"/>
      <c r="L841" s="27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2.75" customHeight="1" x14ac:dyDescent="0.25">
      <c r="A842" s="184"/>
      <c r="B842" s="38"/>
      <c r="C842" s="38"/>
      <c r="D842" s="38"/>
      <c r="E842" s="38"/>
      <c r="F842" s="185"/>
      <c r="G842" s="186"/>
      <c r="H842" s="37"/>
      <c r="I842" s="37"/>
      <c r="J842" s="37"/>
      <c r="K842" s="38"/>
      <c r="L842" s="27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2.75" customHeight="1" x14ac:dyDescent="0.25">
      <c r="A843" s="184"/>
      <c r="B843" s="38"/>
      <c r="C843" s="38"/>
      <c r="D843" s="38"/>
      <c r="E843" s="38"/>
      <c r="F843" s="185"/>
      <c r="G843" s="186"/>
      <c r="H843" s="37"/>
      <c r="I843" s="37"/>
      <c r="J843" s="37"/>
      <c r="K843" s="38"/>
      <c r="L843" s="27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2.75" customHeight="1" x14ac:dyDescent="0.25">
      <c r="A844" s="184"/>
      <c r="B844" s="38"/>
      <c r="C844" s="38"/>
      <c r="D844" s="38"/>
      <c r="E844" s="38"/>
      <c r="F844" s="185"/>
      <c r="G844" s="186"/>
      <c r="H844" s="37"/>
      <c r="I844" s="37"/>
      <c r="J844" s="37"/>
      <c r="K844" s="38"/>
      <c r="L844" s="27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2.75" customHeight="1" x14ac:dyDescent="0.25">
      <c r="A845" s="184"/>
      <c r="B845" s="38"/>
      <c r="C845" s="38"/>
      <c r="D845" s="38"/>
      <c r="E845" s="38"/>
      <c r="F845" s="185"/>
      <c r="G845" s="186"/>
      <c r="H845" s="37"/>
      <c r="I845" s="37"/>
      <c r="J845" s="37"/>
      <c r="K845" s="38"/>
      <c r="L845" s="27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2.75" customHeight="1" x14ac:dyDescent="0.25">
      <c r="A846" s="184"/>
      <c r="B846" s="38"/>
      <c r="C846" s="38"/>
      <c r="D846" s="38"/>
      <c r="E846" s="38"/>
      <c r="F846" s="185"/>
      <c r="G846" s="186"/>
      <c r="H846" s="37"/>
      <c r="I846" s="37"/>
      <c r="J846" s="37"/>
      <c r="K846" s="38"/>
      <c r="L846" s="27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2.75" customHeight="1" x14ac:dyDescent="0.25">
      <c r="A847" s="184"/>
      <c r="B847" s="38"/>
      <c r="C847" s="38"/>
      <c r="D847" s="38"/>
      <c r="E847" s="38"/>
      <c r="F847" s="185"/>
      <c r="G847" s="186"/>
      <c r="H847" s="37"/>
      <c r="I847" s="37"/>
      <c r="J847" s="37"/>
      <c r="K847" s="38"/>
      <c r="L847" s="27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2.75" customHeight="1" x14ac:dyDescent="0.25">
      <c r="A848" s="184"/>
      <c r="B848" s="38"/>
      <c r="C848" s="38"/>
      <c r="D848" s="38"/>
      <c r="E848" s="38"/>
      <c r="F848" s="185"/>
      <c r="G848" s="186"/>
      <c r="H848" s="37"/>
      <c r="I848" s="37"/>
      <c r="J848" s="37"/>
      <c r="K848" s="38"/>
      <c r="L848" s="27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2.75" customHeight="1" x14ac:dyDescent="0.25">
      <c r="A849" s="184"/>
      <c r="B849" s="38"/>
      <c r="C849" s="38"/>
      <c r="D849" s="38"/>
      <c r="E849" s="38"/>
      <c r="F849" s="185"/>
      <c r="G849" s="186"/>
      <c r="H849" s="37"/>
      <c r="I849" s="37"/>
      <c r="J849" s="37"/>
      <c r="K849" s="38"/>
      <c r="L849" s="27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2.75" customHeight="1" x14ac:dyDescent="0.25">
      <c r="A850" s="184"/>
      <c r="B850" s="38"/>
      <c r="C850" s="38"/>
      <c r="D850" s="38"/>
      <c r="E850" s="38"/>
      <c r="F850" s="185"/>
      <c r="G850" s="186"/>
      <c r="H850" s="37"/>
      <c r="I850" s="37"/>
      <c r="J850" s="37"/>
      <c r="K850" s="38"/>
      <c r="L850" s="27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2.75" customHeight="1" x14ac:dyDescent="0.25">
      <c r="A851" s="184"/>
      <c r="B851" s="38"/>
      <c r="C851" s="38"/>
      <c r="D851" s="38"/>
      <c r="E851" s="38"/>
      <c r="F851" s="185"/>
      <c r="G851" s="186"/>
      <c r="H851" s="37"/>
      <c r="I851" s="37"/>
      <c r="J851" s="37"/>
      <c r="K851" s="38"/>
      <c r="L851" s="27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2.75" customHeight="1" x14ac:dyDescent="0.25">
      <c r="A852" s="184"/>
      <c r="B852" s="38"/>
      <c r="C852" s="38"/>
      <c r="D852" s="38"/>
      <c r="E852" s="38"/>
      <c r="F852" s="185"/>
      <c r="G852" s="186"/>
      <c r="H852" s="37"/>
      <c r="I852" s="37"/>
      <c r="J852" s="37"/>
      <c r="K852" s="38"/>
      <c r="L852" s="27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2.75" customHeight="1" x14ac:dyDescent="0.25">
      <c r="A853" s="184"/>
      <c r="B853" s="38"/>
      <c r="C853" s="38"/>
      <c r="D853" s="38"/>
      <c r="E853" s="38"/>
      <c r="F853" s="185"/>
      <c r="G853" s="186"/>
      <c r="H853" s="37"/>
      <c r="I853" s="37"/>
      <c r="J853" s="37"/>
      <c r="K853" s="38"/>
      <c r="L853" s="27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2.75" customHeight="1" x14ac:dyDescent="0.25">
      <c r="A854" s="184"/>
      <c r="B854" s="38"/>
      <c r="C854" s="38"/>
      <c r="D854" s="38"/>
      <c r="E854" s="38"/>
      <c r="F854" s="185"/>
      <c r="G854" s="186"/>
      <c r="H854" s="37"/>
      <c r="I854" s="37"/>
      <c r="J854" s="37"/>
      <c r="K854" s="38"/>
      <c r="L854" s="27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2.75" customHeight="1" x14ac:dyDescent="0.25">
      <c r="A855" s="184"/>
      <c r="B855" s="38"/>
      <c r="C855" s="38"/>
      <c r="D855" s="38"/>
      <c r="E855" s="38"/>
      <c r="F855" s="185"/>
      <c r="G855" s="186"/>
      <c r="H855" s="37"/>
      <c r="I855" s="37"/>
      <c r="J855" s="37"/>
      <c r="K855" s="38"/>
      <c r="L855" s="27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2.75" customHeight="1" x14ac:dyDescent="0.25">
      <c r="A856" s="184"/>
      <c r="B856" s="38"/>
      <c r="C856" s="38"/>
      <c r="D856" s="38"/>
      <c r="E856" s="38"/>
      <c r="F856" s="185"/>
      <c r="G856" s="186"/>
      <c r="H856" s="37"/>
      <c r="I856" s="37"/>
      <c r="J856" s="37"/>
      <c r="K856" s="38"/>
      <c r="L856" s="27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2.75" customHeight="1" x14ac:dyDescent="0.25">
      <c r="A857" s="184"/>
      <c r="B857" s="38"/>
      <c r="C857" s="38"/>
      <c r="D857" s="38"/>
      <c r="E857" s="38"/>
      <c r="F857" s="185"/>
      <c r="G857" s="186"/>
      <c r="H857" s="37"/>
      <c r="I857" s="37"/>
      <c r="J857" s="37"/>
      <c r="K857" s="38"/>
      <c r="L857" s="27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2.75" customHeight="1" x14ac:dyDescent="0.25">
      <c r="A858" s="184"/>
      <c r="B858" s="38"/>
      <c r="C858" s="38"/>
      <c r="D858" s="38"/>
      <c r="E858" s="38"/>
      <c r="F858" s="185"/>
      <c r="G858" s="186"/>
      <c r="H858" s="37"/>
      <c r="I858" s="37"/>
      <c r="J858" s="37"/>
      <c r="K858" s="38"/>
      <c r="L858" s="27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2.75" customHeight="1" x14ac:dyDescent="0.25">
      <c r="A859" s="184"/>
      <c r="B859" s="38"/>
      <c r="C859" s="38"/>
      <c r="D859" s="38"/>
      <c r="E859" s="38"/>
      <c r="F859" s="185"/>
      <c r="G859" s="186"/>
      <c r="H859" s="37"/>
      <c r="I859" s="37"/>
      <c r="J859" s="37"/>
      <c r="K859" s="38"/>
      <c r="L859" s="27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2.75" customHeight="1" x14ac:dyDescent="0.25">
      <c r="A860" s="184"/>
      <c r="B860" s="38"/>
      <c r="C860" s="38"/>
      <c r="D860" s="38"/>
      <c r="E860" s="38"/>
      <c r="F860" s="185"/>
      <c r="G860" s="186"/>
      <c r="H860" s="37"/>
      <c r="I860" s="37"/>
      <c r="J860" s="37"/>
      <c r="K860" s="38"/>
      <c r="L860" s="27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2.75" customHeight="1" x14ac:dyDescent="0.25">
      <c r="A861" s="184"/>
      <c r="B861" s="38"/>
      <c r="C861" s="38"/>
      <c r="D861" s="38"/>
      <c r="E861" s="38"/>
      <c r="F861" s="185"/>
      <c r="G861" s="186"/>
      <c r="H861" s="37"/>
      <c r="I861" s="37"/>
      <c r="J861" s="37"/>
      <c r="K861" s="38"/>
      <c r="L861" s="27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2.75" customHeight="1" x14ac:dyDescent="0.25">
      <c r="A862" s="184"/>
      <c r="B862" s="38"/>
      <c r="C862" s="38"/>
      <c r="D862" s="38"/>
      <c r="E862" s="38"/>
      <c r="F862" s="185"/>
      <c r="G862" s="186"/>
      <c r="H862" s="37"/>
      <c r="I862" s="37"/>
      <c r="J862" s="37"/>
      <c r="K862" s="38"/>
      <c r="L862" s="27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2.75" customHeight="1" x14ac:dyDescent="0.25">
      <c r="A863" s="184"/>
      <c r="B863" s="38"/>
      <c r="C863" s="38"/>
      <c r="D863" s="38"/>
      <c r="E863" s="38"/>
      <c r="F863" s="185"/>
      <c r="G863" s="186"/>
      <c r="H863" s="37"/>
      <c r="I863" s="37"/>
      <c r="J863" s="37"/>
      <c r="K863" s="38"/>
      <c r="L863" s="27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2.75" customHeight="1" x14ac:dyDescent="0.25">
      <c r="A864" s="184"/>
      <c r="B864" s="38"/>
      <c r="C864" s="38"/>
      <c r="D864" s="38"/>
      <c r="E864" s="38"/>
      <c r="F864" s="185"/>
      <c r="G864" s="186"/>
      <c r="H864" s="37"/>
      <c r="I864" s="37"/>
      <c r="J864" s="37"/>
      <c r="K864" s="38"/>
      <c r="L864" s="27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2.75" customHeight="1" x14ac:dyDescent="0.25">
      <c r="A865" s="184"/>
      <c r="B865" s="38"/>
      <c r="C865" s="38"/>
      <c r="D865" s="38"/>
      <c r="E865" s="38"/>
      <c r="F865" s="185"/>
      <c r="G865" s="186"/>
      <c r="H865" s="37"/>
      <c r="I865" s="37"/>
      <c r="J865" s="37"/>
      <c r="K865" s="38"/>
      <c r="L865" s="27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2.75" customHeight="1" x14ac:dyDescent="0.25">
      <c r="A866" s="184"/>
      <c r="B866" s="38"/>
      <c r="C866" s="38"/>
      <c r="D866" s="38"/>
      <c r="E866" s="38"/>
      <c r="F866" s="185"/>
      <c r="G866" s="186"/>
      <c r="H866" s="37"/>
      <c r="I866" s="37"/>
      <c r="J866" s="37"/>
      <c r="K866" s="38"/>
      <c r="L866" s="27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2.75" customHeight="1" x14ac:dyDescent="0.25">
      <c r="A867" s="184"/>
      <c r="B867" s="38"/>
      <c r="C867" s="38"/>
      <c r="D867" s="38"/>
      <c r="E867" s="38"/>
      <c r="F867" s="185"/>
      <c r="G867" s="186"/>
      <c r="H867" s="37"/>
      <c r="I867" s="37"/>
      <c r="J867" s="37"/>
      <c r="K867" s="38"/>
      <c r="L867" s="27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2.75" customHeight="1" x14ac:dyDescent="0.25">
      <c r="A868" s="184"/>
      <c r="B868" s="38"/>
      <c r="C868" s="38"/>
      <c r="D868" s="38"/>
      <c r="E868" s="38"/>
      <c r="F868" s="185"/>
      <c r="G868" s="186"/>
      <c r="H868" s="37"/>
      <c r="I868" s="37"/>
      <c r="J868" s="37"/>
      <c r="K868" s="38"/>
      <c r="L868" s="27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2.75" customHeight="1" x14ac:dyDescent="0.25">
      <c r="A869" s="184"/>
      <c r="B869" s="38"/>
      <c r="C869" s="38"/>
      <c r="D869" s="38"/>
      <c r="E869" s="38"/>
      <c r="F869" s="185"/>
      <c r="G869" s="186"/>
      <c r="H869" s="37"/>
      <c r="I869" s="37"/>
      <c r="J869" s="37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2.75" customHeight="1" x14ac:dyDescent="0.25">
      <c r="A870" s="184"/>
      <c r="B870" s="38"/>
      <c r="C870" s="38"/>
      <c r="D870" s="38"/>
      <c r="E870" s="38"/>
      <c r="F870" s="185"/>
      <c r="G870" s="186"/>
      <c r="H870" s="37"/>
      <c r="I870" s="37"/>
      <c r="J870" s="37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2.75" customHeight="1" x14ac:dyDescent="0.25">
      <c r="A871" s="184"/>
      <c r="B871" s="38"/>
      <c r="C871" s="38"/>
      <c r="D871" s="38"/>
      <c r="E871" s="38"/>
      <c r="F871" s="185"/>
      <c r="G871" s="186"/>
      <c r="H871" s="37"/>
      <c r="I871" s="37"/>
      <c r="J871" s="37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2.75" customHeight="1" x14ac:dyDescent="0.25">
      <c r="A872" s="184"/>
      <c r="B872" s="38"/>
      <c r="C872" s="38"/>
      <c r="D872" s="38"/>
      <c r="E872" s="38"/>
      <c r="F872" s="185"/>
      <c r="G872" s="186"/>
      <c r="H872" s="37"/>
      <c r="I872" s="37"/>
      <c r="J872" s="37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2.75" customHeight="1" x14ac:dyDescent="0.25">
      <c r="A873" s="184"/>
      <c r="B873" s="38"/>
      <c r="C873" s="38"/>
      <c r="D873" s="38"/>
      <c r="E873" s="38"/>
      <c r="F873" s="185"/>
      <c r="G873" s="186"/>
      <c r="H873" s="37"/>
      <c r="I873" s="37"/>
      <c r="J873" s="37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2.75" customHeight="1" x14ac:dyDescent="0.25">
      <c r="A874" s="184"/>
      <c r="B874" s="38"/>
      <c r="C874" s="38"/>
      <c r="D874" s="38"/>
      <c r="E874" s="38"/>
      <c r="F874" s="185"/>
      <c r="G874" s="186"/>
      <c r="H874" s="37"/>
      <c r="I874" s="37"/>
      <c r="J874" s="37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2.75" customHeight="1" x14ac:dyDescent="0.25">
      <c r="A875" s="184"/>
      <c r="B875" s="38"/>
      <c r="C875" s="38"/>
      <c r="D875" s="38"/>
      <c r="E875" s="38"/>
      <c r="F875" s="185"/>
      <c r="G875" s="186"/>
      <c r="H875" s="37"/>
      <c r="I875" s="37"/>
      <c r="J875" s="37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2.75" customHeight="1" x14ac:dyDescent="0.25">
      <c r="A876" s="184"/>
      <c r="B876" s="38"/>
      <c r="C876" s="38"/>
      <c r="D876" s="38"/>
      <c r="E876" s="38"/>
      <c r="F876" s="185"/>
      <c r="G876" s="186"/>
      <c r="H876" s="37"/>
      <c r="I876" s="37"/>
      <c r="J876" s="37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2.75" customHeight="1" x14ac:dyDescent="0.25">
      <c r="A877" s="184"/>
      <c r="B877" s="38"/>
      <c r="C877" s="38"/>
      <c r="D877" s="38"/>
      <c r="E877" s="38"/>
      <c r="F877" s="185"/>
      <c r="G877" s="186"/>
      <c r="H877" s="37"/>
      <c r="I877" s="37"/>
      <c r="J877" s="37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2.75" customHeight="1" x14ac:dyDescent="0.25">
      <c r="A878" s="184"/>
      <c r="B878" s="38"/>
      <c r="C878" s="38"/>
      <c r="D878" s="38"/>
      <c r="E878" s="38"/>
      <c r="F878" s="185"/>
      <c r="G878" s="186"/>
      <c r="H878" s="37"/>
      <c r="I878" s="37"/>
      <c r="J878" s="37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2.75" customHeight="1" x14ac:dyDescent="0.25">
      <c r="A879" s="184"/>
      <c r="B879" s="38"/>
      <c r="C879" s="38"/>
      <c r="D879" s="38"/>
      <c r="E879" s="38"/>
      <c r="F879" s="185"/>
      <c r="G879" s="186"/>
      <c r="H879" s="37"/>
      <c r="I879" s="37"/>
      <c r="J879" s="37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2.75" customHeight="1" x14ac:dyDescent="0.25">
      <c r="A880" s="184"/>
      <c r="B880" s="38"/>
      <c r="C880" s="38"/>
      <c r="D880" s="38"/>
      <c r="E880" s="38"/>
      <c r="F880" s="185"/>
      <c r="G880" s="186"/>
      <c r="H880" s="37"/>
      <c r="I880" s="37"/>
      <c r="J880" s="37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2.75" customHeight="1" x14ac:dyDescent="0.25">
      <c r="A881" s="184"/>
      <c r="B881" s="38"/>
      <c r="C881" s="38"/>
      <c r="D881" s="38"/>
      <c r="E881" s="38"/>
      <c r="F881" s="185"/>
      <c r="G881" s="186"/>
      <c r="H881" s="37"/>
      <c r="I881" s="37"/>
      <c r="J881" s="37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2.75" customHeight="1" x14ac:dyDescent="0.25">
      <c r="A882" s="184"/>
      <c r="B882" s="38"/>
      <c r="C882" s="38"/>
      <c r="D882" s="38"/>
      <c r="E882" s="38"/>
      <c r="F882" s="185"/>
      <c r="G882" s="186"/>
      <c r="H882" s="37"/>
      <c r="I882" s="37"/>
      <c r="J882" s="37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2.75" customHeight="1" x14ac:dyDescent="0.25">
      <c r="A883" s="184"/>
      <c r="B883" s="38"/>
      <c r="C883" s="38"/>
      <c r="D883" s="38"/>
      <c r="E883" s="38"/>
      <c r="F883" s="185"/>
      <c r="G883" s="186"/>
      <c r="H883" s="37"/>
      <c r="I883" s="37"/>
      <c r="J883" s="37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2.75" customHeight="1" x14ac:dyDescent="0.25">
      <c r="A884" s="184"/>
      <c r="B884" s="38"/>
      <c r="C884" s="38"/>
      <c r="D884" s="38"/>
      <c r="E884" s="38"/>
      <c r="F884" s="185"/>
      <c r="G884" s="186"/>
      <c r="H884" s="37"/>
      <c r="I884" s="37"/>
      <c r="J884" s="37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2.75" customHeight="1" x14ac:dyDescent="0.25">
      <c r="A885" s="184"/>
      <c r="B885" s="38"/>
      <c r="C885" s="38"/>
      <c r="D885" s="38"/>
      <c r="E885" s="38"/>
      <c r="F885" s="185"/>
      <c r="G885" s="186"/>
      <c r="H885" s="37"/>
      <c r="I885" s="37"/>
      <c r="J885" s="37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2.75" customHeight="1" x14ac:dyDescent="0.25">
      <c r="A886" s="184"/>
      <c r="B886" s="38"/>
      <c r="C886" s="38"/>
      <c r="D886" s="38"/>
      <c r="E886" s="38"/>
      <c r="F886" s="185"/>
      <c r="G886" s="186"/>
      <c r="H886" s="37"/>
      <c r="I886" s="37"/>
      <c r="J886" s="37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2.75" customHeight="1" x14ac:dyDescent="0.25">
      <c r="A887" s="184"/>
      <c r="B887" s="38"/>
      <c r="C887" s="38"/>
      <c r="D887" s="38"/>
      <c r="E887" s="38"/>
      <c r="F887" s="185"/>
      <c r="G887" s="186"/>
      <c r="H887" s="37"/>
      <c r="I887" s="37"/>
      <c r="J887" s="37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2.75" customHeight="1" x14ac:dyDescent="0.25">
      <c r="A888" s="184"/>
      <c r="B888" s="38"/>
      <c r="C888" s="38"/>
      <c r="D888" s="38"/>
      <c r="E888" s="38"/>
      <c r="F888" s="185"/>
      <c r="G888" s="186"/>
      <c r="H888" s="37"/>
      <c r="I888" s="37"/>
      <c r="J888" s="37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2.75" customHeight="1" x14ac:dyDescent="0.25">
      <c r="A889" s="184"/>
      <c r="B889" s="38"/>
      <c r="C889" s="38"/>
      <c r="D889" s="38"/>
      <c r="E889" s="38"/>
      <c r="F889" s="185"/>
      <c r="G889" s="186"/>
      <c r="H889" s="37"/>
      <c r="I889" s="37"/>
      <c r="J889" s="37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2.75" customHeight="1" x14ac:dyDescent="0.25">
      <c r="A890" s="184"/>
      <c r="B890" s="38"/>
      <c r="C890" s="38"/>
      <c r="D890" s="38"/>
      <c r="E890" s="38"/>
      <c r="F890" s="185"/>
      <c r="G890" s="186"/>
      <c r="H890" s="37"/>
      <c r="I890" s="37"/>
      <c r="J890" s="37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2.75" customHeight="1" x14ac:dyDescent="0.25">
      <c r="A891" s="184"/>
      <c r="B891" s="38"/>
      <c r="C891" s="38"/>
      <c r="D891" s="38"/>
      <c r="E891" s="38"/>
      <c r="F891" s="185"/>
      <c r="G891" s="186"/>
      <c r="H891" s="37"/>
      <c r="I891" s="37"/>
      <c r="J891" s="37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2.75" customHeight="1" x14ac:dyDescent="0.25">
      <c r="A892" s="184"/>
      <c r="B892" s="38"/>
      <c r="C892" s="38"/>
      <c r="D892" s="38"/>
      <c r="E892" s="38"/>
      <c r="F892" s="185"/>
      <c r="G892" s="186"/>
      <c r="H892" s="37"/>
      <c r="I892" s="37"/>
      <c r="J892" s="37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2.75" customHeight="1" x14ac:dyDescent="0.25">
      <c r="A893" s="184"/>
      <c r="B893" s="38"/>
      <c r="C893" s="38"/>
      <c r="D893" s="38"/>
      <c r="E893" s="38"/>
      <c r="F893" s="185"/>
      <c r="G893" s="186"/>
      <c r="H893" s="37"/>
      <c r="I893" s="37"/>
      <c r="J893" s="37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2.75" customHeight="1" x14ac:dyDescent="0.25">
      <c r="A894" s="184"/>
      <c r="B894" s="38"/>
      <c r="C894" s="38"/>
      <c r="D894" s="38"/>
      <c r="E894" s="38"/>
      <c r="F894" s="185"/>
      <c r="G894" s="186"/>
      <c r="H894" s="37"/>
      <c r="I894" s="37"/>
      <c r="J894" s="37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2.75" customHeight="1" x14ac:dyDescent="0.25">
      <c r="A895" s="184"/>
      <c r="B895" s="38"/>
      <c r="C895" s="38"/>
      <c r="D895" s="38"/>
      <c r="E895" s="38"/>
      <c r="F895" s="185"/>
      <c r="G895" s="186"/>
      <c r="H895" s="37"/>
      <c r="I895" s="37"/>
      <c r="J895" s="37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2.75" customHeight="1" x14ac:dyDescent="0.25">
      <c r="A896" s="184"/>
      <c r="B896" s="38"/>
      <c r="C896" s="38"/>
      <c r="D896" s="38"/>
      <c r="E896" s="38"/>
      <c r="F896" s="185"/>
      <c r="G896" s="186"/>
      <c r="H896" s="37"/>
      <c r="I896" s="37"/>
      <c r="J896" s="37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2.75" customHeight="1" x14ac:dyDescent="0.25">
      <c r="A897" s="184"/>
      <c r="B897" s="38"/>
      <c r="C897" s="38"/>
      <c r="D897" s="38"/>
      <c r="E897" s="38"/>
      <c r="F897" s="185"/>
      <c r="G897" s="186"/>
      <c r="H897" s="37"/>
      <c r="I897" s="37"/>
      <c r="J897" s="37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2.75" customHeight="1" x14ac:dyDescent="0.25">
      <c r="A898" s="184"/>
      <c r="B898" s="38"/>
      <c r="C898" s="38"/>
      <c r="D898" s="38"/>
      <c r="E898" s="38"/>
      <c r="F898" s="185"/>
      <c r="G898" s="186"/>
      <c r="H898" s="37"/>
      <c r="I898" s="37"/>
      <c r="J898" s="37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2.75" customHeight="1" x14ac:dyDescent="0.25">
      <c r="A899" s="184"/>
      <c r="B899" s="38"/>
      <c r="C899" s="38"/>
      <c r="D899" s="38"/>
      <c r="E899" s="38"/>
      <c r="F899" s="185"/>
      <c r="G899" s="186"/>
      <c r="H899" s="37"/>
      <c r="I899" s="37"/>
      <c r="J899" s="37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2.75" customHeight="1" x14ac:dyDescent="0.25">
      <c r="A900" s="184"/>
      <c r="B900" s="38"/>
      <c r="C900" s="38"/>
      <c r="D900" s="38"/>
      <c r="E900" s="38"/>
      <c r="F900" s="185"/>
      <c r="G900" s="186"/>
      <c r="H900" s="37"/>
      <c r="I900" s="37"/>
      <c r="J900" s="37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2.75" customHeight="1" x14ac:dyDescent="0.25">
      <c r="A901" s="184"/>
      <c r="B901" s="38"/>
      <c r="C901" s="38"/>
      <c r="D901" s="38"/>
      <c r="E901" s="38"/>
      <c r="F901" s="185"/>
      <c r="G901" s="186"/>
      <c r="H901" s="37"/>
      <c r="I901" s="37"/>
      <c r="J901" s="37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2.75" customHeight="1" x14ac:dyDescent="0.25">
      <c r="A902" s="184"/>
      <c r="B902" s="38"/>
      <c r="C902" s="38"/>
      <c r="D902" s="38"/>
      <c r="E902" s="38"/>
      <c r="F902" s="185"/>
      <c r="G902" s="186"/>
      <c r="H902" s="37"/>
      <c r="I902" s="37"/>
      <c r="J902" s="37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2.75" customHeight="1" x14ac:dyDescent="0.25">
      <c r="A903" s="184"/>
      <c r="B903" s="38"/>
      <c r="C903" s="38"/>
      <c r="D903" s="38"/>
      <c r="E903" s="38"/>
      <c r="F903" s="185"/>
      <c r="G903" s="186"/>
      <c r="H903" s="37"/>
      <c r="I903" s="37"/>
      <c r="J903" s="37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2.75" customHeight="1" x14ac:dyDescent="0.25">
      <c r="A904" s="184"/>
      <c r="B904" s="38"/>
      <c r="C904" s="38"/>
      <c r="D904" s="38"/>
      <c r="E904" s="38"/>
      <c r="F904" s="185"/>
      <c r="G904" s="186"/>
      <c r="H904" s="37"/>
      <c r="I904" s="37"/>
      <c r="J904" s="37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2.75" customHeight="1" x14ac:dyDescent="0.25">
      <c r="A905" s="184"/>
      <c r="B905" s="38"/>
      <c r="C905" s="38"/>
      <c r="D905" s="38"/>
      <c r="E905" s="38"/>
      <c r="F905" s="185"/>
      <c r="G905" s="186"/>
      <c r="H905" s="37"/>
      <c r="I905" s="37"/>
      <c r="J905" s="37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2.75" customHeight="1" x14ac:dyDescent="0.25">
      <c r="A906" s="184"/>
      <c r="B906" s="38"/>
      <c r="C906" s="38"/>
      <c r="D906" s="38"/>
      <c r="E906" s="38"/>
      <c r="F906" s="185"/>
      <c r="G906" s="186"/>
      <c r="H906" s="37"/>
      <c r="I906" s="37"/>
      <c r="J906" s="37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2.75" customHeight="1" x14ac:dyDescent="0.25">
      <c r="A907" s="184"/>
      <c r="B907" s="38"/>
      <c r="C907" s="38"/>
      <c r="D907" s="38"/>
      <c r="E907" s="38"/>
      <c r="F907" s="185"/>
      <c r="G907" s="186"/>
      <c r="H907" s="37"/>
      <c r="I907" s="37"/>
      <c r="J907" s="37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2.75" customHeight="1" x14ac:dyDescent="0.25">
      <c r="A908" s="184"/>
      <c r="B908" s="38"/>
      <c r="C908" s="38"/>
      <c r="D908" s="38"/>
      <c r="E908" s="38"/>
      <c r="F908" s="185"/>
      <c r="G908" s="186"/>
      <c r="H908" s="37"/>
      <c r="I908" s="37"/>
      <c r="J908" s="37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2.75" customHeight="1" x14ac:dyDescent="0.25">
      <c r="A909" s="184"/>
      <c r="B909" s="38"/>
      <c r="C909" s="38"/>
      <c r="D909" s="38"/>
      <c r="E909" s="38"/>
      <c r="F909" s="185"/>
      <c r="G909" s="186"/>
      <c r="H909" s="37"/>
      <c r="I909" s="37"/>
      <c r="J909" s="37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2.75" customHeight="1" x14ac:dyDescent="0.25">
      <c r="A910" s="184"/>
      <c r="B910" s="38"/>
      <c r="C910" s="38"/>
      <c r="D910" s="38"/>
      <c r="E910" s="38"/>
      <c r="F910" s="185"/>
      <c r="G910" s="186"/>
      <c r="H910" s="37"/>
      <c r="I910" s="37"/>
      <c r="J910" s="37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2.75" customHeight="1" x14ac:dyDescent="0.25">
      <c r="A911" s="184"/>
      <c r="B911" s="38"/>
      <c r="C911" s="38"/>
      <c r="D911" s="38"/>
      <c r="E911" s="38"/>
      <c r="F911" s="185"/>
      <c r="G911" s="186"/>
      <c r="H911" s="37"/>
      <c r="I911" s="37"/>
      <c r="J911" s="37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2.75" customHeight="1" x14ac:dyDescent="0.25">
      <c r="A912" s="184"/>
      <c r="B912" s="38"/>
      <c r="C912" s="38"/>
      <c r="D912" s="38"/>
      <c r="E912" s="38"/>
      <c r="F912" s="185"/>
      <c r="G912" s="186"/>
      <c r="H912" s="37"/>
      <c r="I912" s="37"/>
      <c r="J912" s="37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2.75" customHeight="1" x14ac:dyDescent="0.25">
      <c r="A913" s="184"/>
      <c r="B913" s="38"/>
      <c r="C913" s="38"/>
      <c r="D913" s="38"/>
      <c r="E913" s="38"/>
      <c r="F913" s="185"/>
      <c r="G913" s="186"/>
      <c r="H913" s="37"/>
      <c r="I913" s="37"/>
      <c r="J913" s="37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2.75" customHeight="1" x14ac:dyDescent="0.25">
      <c r="A914" s="184"/>
      <c r="B914" s="38"/>
      <c r="C914" s="38"/>
      <c r="D914" s="38"/>
      <c r="E914" s="38"/>
      <c r="F914" s="185"/>
      <c r="G914" s="186"/>
      <c r="H914" s="37"/>
      <c r="I914" s="37"/>
      <c r="J914" s="37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2.75" customHeight="1" x14ac:dyDescent="0.25">
      <c r="A915" s="184"/>
      <c r="B915" s="38"/>
      <c r="C915" s="38"/>
      <c r="D915" s="38"/>
      <c r="E915" s="38"/>
      <c r="F915" s="185"/>
      <c r="G915" s="186"/>
      <c r="H915" s="37"/>
      <c r="I915" s="37"/>
      <c r="J915" s="37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2.75" customHeight="1" x14ac:dyDescent="0.25">
      <c r="A916" s="184"/>
      <c r="B916" s="38"/>
      <c r="C916" s="38"/>
      <c r="D916" s="38"/>
      <c r="E916" s="38"/>
      <c r="F916" s="185"/>
      <c r="G916" s="186"/>
      <c r="H916" s="37"/>
      <c r="I916" s="37"/>
      <c r="J916" s="37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2.75" customHeight="1" x14ac:dyDescent="0.25">
      <c r="A917" s="184"/>
      <c r="B917" s="38"/>
      <c r="C917" s="38"/>
      <c r="D917" s="38"/>
      <c r="E917" s="38"/>
      <c r="F917" s="185"/>
      <c r="G917" s="186"/>
      <c r="H917" s="37"/>
      <c r="I917" s="37"/>
      <c r="J917" s="37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2.75" customHeight="1" x14ac:dyDescent="0.25">
      <c r="A918" s="184"/>
      <c r="B918" s="38"/>
      <c r="C918" s="38"/>
      <c r="D918" s="38"/>
      <c r="E918" s="38"/>
      <c r="F918" s="185"/>
      <c r="G918" s="186"/>
      <c r="H918" s="37"/>
      <c r="I918" s="37"/>
      <c r="J918" s="37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2.75" customHeight="1" x14ac:dyDescent="0.25">
      <c r="A919" s="184"/>
      <c r="B919" s="38"/>
      <c r="C919" s="38"/>
      <c r="D919" s="38"/>
      <c r="E919" s="38"/>
      <c r="F919" s="185"/>
      <c r="G919" s="186"/>
      <c r="H919" s="37"/>
      <c r="I919" s="37"/>
      <c r="J919" s="37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2.75" customHeight="1" x14ac:dyDescent="0.25">
      <c r="A920" s="184"/>
      <c r="B920" s="38"/>
      <c r="C920" s="38"/>
      <c r="D920" s="38"/>
      <c r="E920" s="38"/>
      <c r="F920" s="185"/>
      <c r="G920" s="186"/>
      <c r="H920" s="37"/>
      <c r="I920" s="37"/>
      <c r="J920" s="37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2.75" customHeight="1" x14ac:dyDescent="0.25">
      <c r="A921" s="184"/>
      <c r="B921" s="38"/>
      <c r="C921" s="38"/>
      <c r="D921" s="38"/>
      <c r="E921" s="38"/>
      <c r="F921" s="185"/>
      <c r="G921" s="186"/>
      <c r="H921" s="37"/>
      <c r="I921" s="37"/>
      <c r="J921" s="37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2.75" customHeight="1" x14ac:dyDescent="0.25">
      <c r="A922" s="184"/>
      <c r="B922" s="38"/>
      <c r="C922" s="38"/>
      <c r="D922" s="38"/>
      <c r="E922" s="38"/>
      <c r="F922" s="185"/>
      <c r="G922" s="186"/>
      <c r="H922" s="37"/>
      <c r="I922" s="37"/>
      <c r="J922" s="37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2.75" customHeight="1" x14ac:dyDescent="0.25">
      <c r="A923" s="184"/>
      <c r="B923" s="38"/>
      <c r="C923" s="38"/>
      <c r="D923" s="38"/>
      <c r="E923" s="38"/>
      <c r="F923" s="185"/>
      <c r="G923" s="186"/>
      <c r="H923" s="37"/>
      <c r="I923" s="37"/>
      <c r="J923" s="37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2.75" customHeight="1" x14ac:dyDescent="0.25">
      <c r="A924" s="184"/>
      <c r="B924" s="38"/>
      <c r="C924" s="38"/>
      <c r="D924" s="38"/>
      <c r="E924" s="38"/>
      <c r="F924" s="185"/>
      <c r="G924" s="186"/>
      <c r="H924" s="37"/>
      <c r="I924" s="37"/>
      <c r="J924" s="37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2.75" customHeight="1" x14ac:dyDescent="0.25">
      <c r="A925" s="184"/>
      <c r="B925" s="38"/>
      <c r="C925" s="38"/>
      <c r="D925" s="38"/>
      <c r="E925" s="38"/>
      <c r="F925" s="185"/>
      <c r="G925" s="186"/>
      <c r="H925" s="37"/>
      <c r="I925" s="37"/>
      <c r="J925" s="37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2.75" customHeight="1" x14ac:dyDescent="0.25">
      <c r="A926" s="184"/>
      <c r="B926" s="38"/>
      <c r="C926" s="38"/>
      <c r="D926" s="38"/>
      <c r="E926" s="38"/>
      <c r="F926" s="185"/>
      <c r="G926" s="186"/>
      <c r="H926" s="37"/>
      <c r="I926" s="37"/>
      <c r="J926" s="37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2.75" customHeight="1" x14ac:dyDescent="0.25">
      <c r="A927" s="184"/>
      <c r="B927" s="38"/>
      <c r="C927" s="38"/>
      <c r="D927" s="38"/>
      <c r="E927" s="38"/>
      <c r="F927" s="185"/>
      <c r="G927" s="186"/>
      <c r="H927" s="37"/>
      <c r="I927" s="37"/>
      <c r="J927" s="37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2.75" customHeight="1" x14ac:dyDescent="0.25">
      <c r="A928" s="184"/>
      <c r="B928" s="38"/>
      <c r="C928" s="38"/>
      <c r="D928" s="38"/>
      <c r="E928" s="38"/>
      <c r="F928" s="185"/>
      <c r="G928" s="186"/>
      <c r="H928" s="37"/>
      <c r="I928" s="37"/>
      <c r="J928" s="37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2.75" customHeight="1" x14ac:dyDescent="0.25">
      <c r="A929" s="184"/>
      <c r="B929" s="38"/>
      <c r="C929" s="38"/>
      <c r="D929" s="38"/>
      <c r="E929" s="38"/>
      <c r="F929" s="185"/>
      <c r="G929" s="186"/>
      <c r="H929" s="37"/>
      <c r="I929" s="37"/>
      <c r="J929" s="37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2.75" customHeight="1" x14ac:dyDescent="0.25">
      <c r="A930" s="184"/>
      <c r="B930" s="38"/>
      <c r="C930" s="38"/>
      <c r="D930" s="38"/>
      <c r="E930" s="38"/>
      <c r="F930" s="185"/>
      <c r="G930" s="186"/>
      <c r="H930" s="37"/>
      <c r="I930" s="37"/>
      <c r="J930" s="37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2.75" customHeight="1" x14ac:dyDescent="0.25">
      <c r="A931" s="184"/>
      <c r="B931" s="38"/>
      <c r="C931" s="38"/>
      <c r="D931" s="38"/>
      <c r="E931" s="38"/>
      <c r="F931" s="185"/>
      <c r="G931" s="186"/>
      <c r="H931" s="37"/>
      <c r="I931" s="37"/>
      <c r="J931" s="37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2.75" customHeight="1" x14ac:dyDescent="0.25">
      <c r="A932" s="184"/>
      <c r="B932" s="38"/>
      <c r="C932" s="38"/>
      <c r="D932" s="38"/>
      <c r="E932" s="38"/>
      <c r="F932" s="185"/>
      <c r="G932" s="186"/>
      <c r="H932" s="37"/>
      <c r="I932" s="37"/>
      <c r="J932" s="37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2.75" customHeight="1" x14ac:dyDescent="0.25">
      <c r="A933" s="184"/>
      <c r="B933" s="38"/>
      <c r="C933" s="38"/>
      <c r="D933" s="38"/>
      <c r="E933" s="38"/>
      <c r="F933" s="185"/>
      <c r="G933" s="186"/>
      <c r="H933" s="37"/>
      <c r="I933" s="37"/>
      <c r="J933" s="37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2.75" customHeight="1" x14ac:dyDescent="0.25">
      <c r="A934" s="184"/>
      <c r="B934" s="38"/>
      <c r="C934" s="38"/>
      <c r="D934" s="38"/>
      <c r="E934" s="38"/>
      <c r="F934" s="185"/>
      <c r="G934" s="186"/>
      <c r="H934" s="37"/>
      <c r="I934" s="37"/>
      <c r="J934" s="37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2.75" customHeight="1" x14ac:dyDescent="0.25">
      <c r="A935" s="184"/>
      <c r="B935" s="38"/>
      <c r="C935" s="38"/>
      <c r="D935" s="38"/>
      <c r="E935" s="38"/>
      <c r="F935" s="185"/>
      <c r="G935" s="186"/>
      <c r="H935" s="37"/>
      <c r="I935" s="37"/>
      <c r="J935" s="37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2.75" customHeight="1" x14ac:dyDescent="0.25">
      <c r="A936" s="184"/>
      <c r="B936" s="38"/>
      <c r="C936" s="38"/>
      <c r="D936" s="38"/>
      <c r="E936" s="38"/>
      <c r="F936" s="185"/>
      <c r="G936" s="186"/>
      <c r="H936" s="37"/>
      <c r="I936" s="37"/>
      <c r="J936" s="37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2.75" customHeight="1" x14ac:dyDescent="0.25">
      <c r="A937" s="184"/>
      <c r="B937" s="38"/>
      <c r="C937" s="38"/>
      <c r="D937" s="38"/>
      <c r="E937" s="38"/>
      <c r="F937" s="185"/>
      <c r="G937" s="186"/>
      <c r="H937" s="37"/>
      <c r="I937" s="37"/>
      <c r="J937" s="37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2.75" customHeight="1" x14ac:dyDescent="0.25">
      <c r="A938" s="184"/>
      <c r="B938" s="38"/>
      <c r="C938" s="38"/>
      <c r="D938" s="38"/>
      <c r="E938" s="38"/>
      <c r="F938" s="185"/>
      <c r="G938" s="186"/>
      <c r="H938" s="37"/>
      <c r="I938" s="37"/>
      <c r="J938" s="37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2.75" customHeight="1" x14ac:dyDescent="0.25">
      <c r="A939" s="184"/>
      <c r="B939" s="38"/>
      <c r="C939" s="38"/>
      <c r="D939" s="38"/>
      <c r="E939" s="38"/>
      <c r="F939" s="185"/>
      <c r="G939" s="186"/>
      <c r="H939" s="37"/>
      <c r="I939" s="37"/>
      <c r="J939" s="37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2.75" customHeight="1" x14ac:dyDescent="0.25">
      <c r="A940" s="184"/>
      <c r="B940" s="38"/>
      <c r="C940" s="38"/>
      <c r="D940" s="38"/>
      <c r="E940" s="38"/>
      <c r="F940" s="185"/>
      <c r="G940" s="186"/>
      <c r="H940" s="37"/>
      <c r="I940" s="37"/>
      <c r="J940" s="37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2.75" customHeight="1" x14ac:dyDescent="0.25">
      <c r="A941" s="184"/>
      <c r="B941" s="38"/>
      <c r="C941" s="38"/>
      <c r="D941" s="38"/>
      <c r="E941" s="38"/>
      <c r="F941" s="185"/>
      <c r="G941" s="186"/>
      <c r="H941" s="37"/>
      <c r="I941" s="37"/>
      <c r="J941" s="37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2.75" customHeight="1" x14ac:dyDescent="0.25">
      <c r="A942" s="184"/>
      <c r="B942" s="38"/>
      <c r="C942" s="38"/>
      <c r="D942" s="38"/>
      <c r="E942" s="38"/>
      <c r="F942" s="185"/>
      <c r="G942" s="186"/>
      <c r="H942" s="37"/>
      <c r="I942" s="37"/>
      <c r="J942" s="37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2.75" customHeight="1" x14ac:dyDescent="0.25">
      <c r="A943" s="184"/>
      <c r="B943" s="38"/>
      <c r="C943" s="38"/>
      <c r="D943" s="38"/>
      <c r="E943" s="38"/>
      <c r="F943" s="185"/>
      <c r="G943" s="186"/>
      <c r="H943" s="37"/>
      <c r="I943" s="37"/>
      <c r="J943" s="37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2.75" customHeight="1" x14ac:dyDescent="0.25">
      <c r="A944" s="184"/>
      <c r="B944" s="38"/>
      <c r="C944" s="38"/>
      <c r="D944" s="38"/>
      <c r="E944" s="38"/>
      <c r="F944" s="185"/>
      <c r="G944" s="186"/>
      <c r="H944" s="37"/>
      <c r="I944" s="37"/>
      <c r="J944" s="37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2.75" customHeight="1" x14ac:dyDescent="0.25">
      <c r="A945" s="184"/>
      <c r="B945" s="38"/>
      <c r="C945" s="38"/>
      <c r="D945" s="38"/>
      <c r="E945" s="38"/>
      <c r="F945" s="185"/>
      <c r="G945" s="186"/>
      <c r="H945" s="37"/>
      <c r="I945" s="37"/>
      <c r="J945" s="37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2.75" customHeight="1" x14ac:dyDescent="0.25">
      <c r="A946" s="184"/>
      <c r="B946" s="38"/>
      <c r="C946" s="38"/>
      <c r="D946" s="38"/>
      <c r="E946" s="38"/>
      <c r="F946" s="185"/>
      <c r="G946" s="186"/>
      <c r="H946" s="37"/>
      <c r="I946" s="37"/>
      <c r="J946" s="37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2.75" customHeight="1" x14ac:dyDescent="0.25">
      <c r="A947" s="184"/>
      <c r="B947" s="38"/>
      <c r="C947" s="38"/>
      <c r="D947" s="38"/>
      <c r="E947" s="38"/>
      <c r="F947" s="185"/>
      <c r="G947" s="186"/>
      <c r="H947" s="37"/>
      <c r="I947" s="37"/>
      <c r="J947" s="37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2.75" customHeight="1" x14ac:dyDescent="0.25">
      <c r="A948" s="184"/>
      <c r="B948" s="38"/>
      <c r="C948" s="38"/>
      <c r="D948" s="38"/>
      <c r="E948" s="38"/>
      <c r="F948" s="185"/>
      <c r="G948" s="186"/>
      <c r="H948" s="37"/>
      <c r="I948" s="37"/>
      <c r="J948" s="37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2.75" customHeight="1" x14ac:dyDescent="0.25">
      <c r="A949" s="184"/>
      <c r="B949" s="38"/>
      <c r="C949" s="38"/>
      <c r="D949" s="38"/>
      <c r="E949" s="38"/>
      <c r="F949" s="185"/>
      <c r="G949" s="186"/>
      <c r="H949" s="37"/>
      <c r="I949" s="37"/>
      <c r="J949" s="37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2.75" customHeight="1" x14ac:dyDescent="0.25">
      <c r="A950" s="184"/>
      <c r="B950" s="38"/>
      <c r="C950" s="38"/>
      <c r="D950" s="38"/>
      <c r="E950" s="38"/>
      <c r="F950" s="185"/>
      <c r="G950" s="186"/>
      <c r="H950" s="37"/>
      <c r="I950" s="37"/>
      <c r="J950" s="37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2.75" customHeight="1" x14ac:dyDescent="0.25">
      <c r="A951" s="184"/>
      <c r="B951" s="38"/>
      <c r="C951" s="38"/>
      <c r="D951" s="38"/>
      <c r="E951" s="38"/>
      <c r="F951" s="185"/>
      <c r="G951" s="186"/>
      <c r="H951" s="37"/>
      <c r="I951" s="37"/>
      <c r="J951" s="37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2.75" customHeight="1" x14ac:dyDescent="0.25">
      <c r="A952" s="184"/>
      <c r="B952" s="38"/>
      <c r="C952" s="38"/>
      <c r="D952" s="38"/>
      <c r="E952" s="38"/>
      <c r="F952" s="185"/>
      <c r="G952" s="186"/>
      <c r="H952" s="37"/>
      <c r="I952" s="37"/>
      <c r="J952" s="37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2.75" customHeight="1" x14ac:dyDescent="0.25">
      <c r="A953" s="184"/>
      <c r="B953" s="38"/>
      <c r="C953" s="38"/>
      <c r="D953" s="38"/>
      <c r="E953" s="38"/>
      <c r="F953" s="185"/>
      <c r="G953" s="186"/>
      <c r="H953" s="37"/>
      <c r="I953" s="37"/>
      <c r="J953" s="37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2.75" customHeight="1" x14ac:dyDescent="0.25">
      <c r="A954" s="184"/>
      <c r="B954" s="38"/>
      <c r="C954" s="38"/>
      <c r="D954" s="38"/>
      <c r="E954" s="38"/>
      <c r="F954" s="185"/>
      <c r="G954" s="186"/>
      <c r="H954" s="37"/>
      <c r="I954" s="37"/>
      <c r="J954" s="37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2.75" customHeight="1" x14ac:dyDescent="0.25">
      <c r="A955" s="184"/>
      <c r="B955" s="38"/>
      <c r="C955" s="38"/>
      <c r="D955" s="38"/>
      <c r="E955" s="38"/>
      <c r="F955" s="185"/>
      <c r="G955" s="186"/>
      <c r="H955" s="37"/>
      <c r="I955" s="37"/>
      <c r="J955" s="37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2.75" customHeight="1" x14ac:dyDescent="0.25">
      <c r="A956" s="184"/>
      <c r="B956" s="38"/>
      <c r="C956" s="38"/>
      <c r="D956" s="38"/>
      <c r="E956" s="38"/>
      <c r="F956" s="185"/>
      <c r="G956" s="186"/>
      <c r="H956" s="37"/>
      <c r="I956" s="37"/>
      <c r="J956" s="37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2.75" customHeight="1" x14ac:dyDescent="0.25">
      <c r="A957" s="184"/>
      <c r="B957" s="38"/>
      <c r="C957" s="38"/>
      <c r="D957" s="38"/>
      <c r="E957" s="38"/>
      <c r="F957" s="185"/>
      <c r="G957" s="186"/>
      <c r="H957" s="37"/>
      <c r="I957" s="37"/>
      <c r="J957" s="37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2.75" customHeight="1" x14ac:dyDescent="0.25">
      <c r="A958" s="184"/>
      <c r="B958" s="38"/>
      <c r="C958" s="38"/>
      <c r="D958" s="38"/>
      <c r="E958" s="38"/>
      <c r="F958" s="185"/>
      <c r="G958" s="186"/>
      <c r="H958" s="37"/>
      <c r="I958" s="37"/>
      <c r="J958" s="37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2.75" customHeight="1" x14ac:dyDescent="0.25">
      <c r="A959" s="184"/>
      <c r="B959" s="38"/>
      <c r="C959" s="38"/>
      <c r="D959" s="38"/>
      <c r="E959" s="38"/>
      <c r="F959" s="185"/>
      <c r="G959" s="186"/>
      <c r="H959" s="37"/>
      <c r="I959" s="37"/>
      <c r="J959" s="37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2.75" customHeight="1" x14ac:dyDescent="0.25">
      <c r="A960" s="184"/>
      <c r="B960" s="38"/>
      <c r="C960" s="38"/>
      <c r="D960" s="38"/>
      <c r="E960" s="38"/>
      <c r="F960" s="185"/>
      <c r="G960" s="186"/>
      <c r="H960" s="37"/>
      <c r="I960" s="37"/>
      <c r="J960" s="37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2.75" customHeight="1" x14ac:dyDescent="0.25">
      <c r="A961" s="184"/>
      <c r="B961" s="38"/>
      <c r="C961" s="38"/>
      <c r="D961" s="38"/>
      <c r="E961" s="38"/>
      <c r="F961" s="185"/>
      <c r="G961" s="186"/>
      <c r="H961" s="37"/>
      <c r="I961" s="37"/>
      <c r="J961" s="37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2.75" customHeight="1" x14ac:dyDescent="0.25">
      <c r="A962" s="184"/>
      <c r="B962" s="38"/>
      <c r="C962" s="38"/>
      <c r="D962" s="38"/>
      <c r="E962" s="38"/>
      <c r="F962" s="185"/>
      <c r="G962" s="186"/>
      <c r="H962" s="37"/>
      <c r="I962" s="37"/>
      <c r="J962" s="37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2.75" customHeight="1" x14ac:dyDescent="0.25">
      <c r="A963" s="184"/>
      <c r="B963" s="38"/>
      <c r="C963" s="38"/>
      <c r="D963" s="38"/>
      <c r="E963" s="38"/>
      <c r="F963" s="185"/>
      <c r="G963" s="186"/>
      <c r="H963" s="37"/>
      <c r="I963" s="37"/>
      <c r="J963" s="37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2.75" customHeight="1" x14ac:dyDescent="0.25">
      <c r="A964" s="184"/>
      <c r="B964" s="38"/>
      <c r="C964" s="38"/>
      <c r="D964" s="38"/>
      <c r="E964" s="38"/>
      <c r="F964" s="185"/>
      <c r="G964" s="186"/>
      <c r="H964" s="37"/>
      <c r="I964" s="37"/>
      <c r="J964" s="37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2.75" customHeight="1" x14ac:dyDescent="0.25">
      <c r="A965" s="184"/>
      <c r="B965" s="38"/>
      <c r="C965" s="38"/>
      <c r="D965" s="38"/>
      <c r="E965" s="38"/>
      <c r="F965" s="185"/>
      <c r="G965" s="186"/>
      <c r="H965" s="37"/>
      <c r="I965" s="37"/>
      <c r="J965" s="37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2.75" customHeight="1" x14ac:dyDescent="0.25">
      <c r="A966" s="184"/>
      <c r="B966" s="38"/>
      <c r="C966" s="38"/>
      <c r="D966" s="38"/>
      <c r="E966" s="38"/>
      <c r="F966" s="185"/>
      <c r="G966" s="186"/>
      <c r="H966" s="37"/>
      <c r="I966" s="37"/>
      <c r="J966" s="37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2.75" customHeight="1" x14ac:dyDescent="0.25">
      <c r="A967" s="184"/>
      <c r="B967" s="38"/>
      <c r="C967" s="38"/>
      <c r="D967" s="38"/>
      <c r="E967" s="38"/>
      <c r="F967" s="185"/>
      <c r="G967" s="186"/>
      <c r="H967" s="37"/>
      <c r="I967" s="37"/>
      <c r="J967" s="37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2.75" customHeight="1" x14ac:dyDescent="0.25">
      <c r="A968" s="184"/>
      <c r="B968" s="38"/>
      <c r="C968" s="38"/>
      <c r="D968" s="38"/>
      <c r="E968" s="38"/>
      <c r="F968" s="185"/>
      <c r="G968" s="186"/>
      <c r="H968" s="37"/>
      <c r="I968" s="37"/>
      <c r="J968" s="37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2.75" customHeight="1" x14ac:dyDescent="0.25">
      <c r="A969" s="184"/>
      <c r="B969" s="38"/>
      <c r="C969" s="38"/>
      <c r="D969" s="38"/>
      <c r="E969" s="38"/>
      <c r="F969" s="185"/>
      <c r="G969" s="186"/>
      <c r="H969" s="37"/>
      <c r="I969" s="37"/>
      <c r="J969" s="37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2.75" customHeight="1" x14ac:dyDescent="0.25">
      <c r="A970" s="184"/>
      <c r="B970" s="38"/>
      <c r="C970" s="38"/>
      <c r="D970" s="38"/>
      <c r="E970" s="38"/>
      <c r="F970" s="185"/>
      <c r="G970" s="186"/>
      <c r="H970" s="37"/>
      <c r="I970" s="37"/>
      <c r="J970" s="37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2.75" customHeight="1" x14ac:dyDescent="0.25">
      <c r="A971" s="184"/>
      <c r="B971" s="38"/>
      <c r="C971" s="38"/>
      <c r="D971" s="38"/>
      <c r="E971" s="38"/>
      <c r="F971" s="185"/>
      <c r="G971" s="186"/>
      <c r="H971" s="37"/>
      <c r="I971" s="37"/>
      <c r="J971" s="37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2.75" customHeight="1" x14ac:dyDescent="0.25">
      <c r="A972" s="184"/>
      <c r="B972" s="38"/>
      <c r="C972" s="38"/>
      <c r="D972" s="38"/>
      <c r="E972" s="38"/>
      <c r="F972" s="185"/>
      <c r="G972" s="186"/>
      <c r="H972" s="37"/>
      <c r="I972" s="37"/>
      <c r="J972" s="37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2.75" customHeight="1" x14ac:dyDescent="0.25">
      <c r="A973" s="184"/>
      <c r="B973" s="38"/>
      <c r="C973" s="38"/>
      <c r="D973" s="38"/>
      <c r="E973" s="38"/>
      <c r="F973" s="185"/>
      <c r="G973" s="186"/>
      <c r="H973" s="37"/>
      <c r="I973" s="37"/>
      <c r="J973" s="37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2.75" customHeight="1" x14ac:dyDescent="0.25">
      <c r="A974" s="184"/>
      <c r="B974" s="38"/>
      <c r="C974" s="38"/>
      <c r="D974" s="38"/>
      <c r="E974" s="38"/>
      <c r="F974" s="185"/>
      <c r="G974" s="186"/>
      <c r="H974" s="37"/>
      <c r="I974" s="37"/>
      <c r="J974" s="37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2.75" customHeight="1" x14ac:dyDescent="0.25">
      <c r="A975" s="184"/>
      <c r="B975" s="38"/>
      <c r="C975" s="38"/>
      <c r="D975" s="38"/>
      <c r="E975" s="38"/>
      <c r="F975" s="185"/>
      <c r="G975" s="186"/>
      <c r="H975" s="37"/>
      <c r="I975" s="37"/>
      <c r="J975" s="37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2.75" customHeight="1" x14ac:dyDescent="0.25">
      <c r="A976" s="184"/>
      <c r="B976" s="38"/>
      <c r="C976" s="38"/>
      <c r="D976" s="38"/>
      <c r="E976" s="38"/>
      <c r="F976" s="185"/>
      <c r="G976" s="186"/>
      <c r="H976" s="37"/>
      <c r="I976" s="37"/>
      <c r="J976" s="37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2.75" customHeight="1" x14ac:dyDescent="0.25">
      <c r="A977" s="184"/>
      <c r="B977" s="38"/>
      <c r="C977" s="38"/>
      <c r="D977" s="38"/>
      <c r="E977" s="38"/>
      <c r="F977" s="185"/>
      <c r="G977" s="186"/>
      <c r="H977" s="37"/>
      <c r="I977" s="37"/>
      <c r="J977" s="37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2.75" customHeight="1" x14ac:dyDescent="0.25">
      <c r="A978" s="184"/>
      <c r="B978" s="38"/>
      <c r="C978" s="38"/>
      <c r="D978" s="38"/>
      <c r="E978" s="38"/>
      <c r="F978" s="185"/>
      <c r="G978" s="186"/>
      <c r="H978" s="37"/>
      <c r="I978" s="37"/>
      <c r="J978" s="37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2.75" customHeight="1" x14ac:dyDescent="0.25">
      <c r="A979" s="184"/>
      <c r="B979" s="38"/>
      <c r="C979" s="38"/>
      <c r="D979" s="38"/>
      <c r="E979" s="38"/>
      <c r="F979" s="185"/>
      <c r="G979" s="186"/>
      <c r="H979" s="37"/>
      <c r="I979" s="37"/>
      <c r="J979" s="37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2.75" customHeight="1" x14ac:dyDescent="0.25">
      <c r="A980" s="184"/>
      <c r="B980" s="38"/>
      <c r="C980" s="38"/>
      <c r="D980" s="38"/>
      <c r="E980" s="38"/>
      <c r="F980" s="185"/>
      <c r="G980" s="186"/>
      <c r="H980" s="37"/>
      <c r="I980" s="37"/>
      <c r="J980" s="37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2.75" customHeight="1" x14ac:dyDescent="0.25">
      <c r="A981" s="184"/>
      <c r="B981" s="38"/>
      <c r="C981" s="38"/>
      <c r="D981" s="38"/>
      <c r="E981" s="38"/>
      <c r="F981" s="185"/>
      <c r="G981" s="186"/>
      <c r="H981" s="37"/>
      <c r="I981" s="37"/>
      <c r="J981" s="37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2.75" customHeight="1" x14ac:dyDescent="0.25">
      <c r="A982" s="184"/>
      <c r="B982" s="38"/>
      <c r="C982" s="38"/>
      <c r="D982" s="38"/>
      <c r="E982" s="38"/>
      <c r="F982" s="185"/>
      <c r="G982" s="186"/>
      <c r="H982" s="37"/>
      <c r="I982" s="37"/>
      <c r="J982" s="37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2.75" customHeight="1" x14ac:dyDescent="0.25">
      <c r="A983" s="184"/>
      <c r="B983" s="38"/>
      <c r="C983" s="38"/>
      <c r="D983" s="38"/>
      <c r="E983" s="38"/>
      <c r="F983" s="185"/>
      <c r="G983" s="186"/>
      <c r="H983" s="37"/>
      <c r="I983" s="37"/>
      <c r="J983" s="37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2.75" customHeight="1" x14ac:dyDescent="0.25">
      <c r="A984" s="184"/>
      <c r="B984" s="38"/>
      <c r="C984" s="38"/>
      <c r="D984" s="38"/>
      <c r="E984" s="38"/>
      <c r="F984" s="185"/>
      <c r="G984" s="186"/>
      <c r="H984" s="37"/>
      <c r="I984" s="37"/>
      <c r="J984" s="37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2.75" customHeight="1" x14ac:dyDescent="0.25">
      <c r="A985" s="184"/>
      <c r="B985" s="38"/>
      <c r="C985" s="38"/>
      <c r="D985" s="38"/>
      <c r="E985" s="38"/>
      <c r="F985" s="185"/>
      <c r="G985" s="186"/>
      <c r="H985" s="37"/>
      <c r="I985" s="37"/>
      <c r="J985" s="37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2.75" customHeight="1" x14ac:dyDescent="0.25">
      <c r="A986" s="184"/>
      <c r="B986" s="38"/>
      <c r="C986" s="38"/>
      <c r="D986" s="38"/>
      <c r="E986" s="38"/>
      <c r="F986" s="185"/>
      <c r="G986" s="186"/>
      <c r="H986" s="37"/>
      <c r="I986" s="37"/>
      <c r="J986" s="37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2.75" customHeight="1" x14ac:dyDescent="0.25">
      <c r="A987" s="184"/>
      <c r="B987" s="38"/>
      <c r="C987" s="38"/>
      <c r="D987" s="38"/>
      <c r="E987" s="38"/>
      <c r="F987" s="185"/>
      <c r="G987" s="186"/>
      <c r="H987" s="37"/>
      <c r="I987" s="37"/>
      <c r="J987" s="37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2.75" customHeight="1" x14ac:dyDescent="0.25">
      <c r="A988" s="184"/>
      <c r="B988" s="38"/>
      <c r="C988" s="38"/>
      <c r="D988" s="38"/>
      <c r="E988" s="38"/>
      <c r="F988" s="185"/>
      <c r="G988" s="186"/>
      <c r="H988" s="37"/>
      <c r="I988" s="37"/>
      <c r="J988" s="37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2.75" customHeight="1" x14ac:dyDescent="0.25">
      <c r="A989" s="184"/>
      <c r="B989" s="38"/>
      <c r="C989" s="38"/>
      <c r="D989" s="38"/>
      <c r="E989" s="38"/>
      <c r="F989" s="185"/>
      <c r="G989" s="186"/>
      <c r="H989" s="37"/>
      <c r="I989" s="37"/>
      <c r="J989" s="37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2.75" customHeight="1" x14ac:dyDescent="0.25">
      <c r="A990" s="184"/>
      <c r="B990" s="38"/>
      <c r="C990" s="38"/>
      <c r="D990" s="38"/>
      <c r="E990" s="38"/>
      <c r="F990" s="185"/>
      <c r="G990" s="186"/>
      <c r="H990" s="37"/>
      <c r="I990" s="37"/>
      <c r="J990" s="37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2.75" customHeight="1" x14ac:dyDescent="0.25">
      <c r="A991" s="184"/>
      <c r="B991" s="38"/>
      <c r="C991" s="38"/>
      <c r="D991" s="38"/>
      <c r="E991" s="38"/>
      <c r="F991" s="185"/>
      <c r="G991" s="186"/>
      <c r="H991" s="37"/>
      <c r="I991" s="37"/>
      <c r="J991" s="37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2.75" customHeight="1" x14ac:dyDescent="0.25">
      <c r="A992" s="184"/>
      <c r="B992" s="38"/>
      <c r="C992" s="38"/>
      <c r="D992" s="38"/>
      <c r="E992" s="38"/>
      <c r="F992" s="185"/>
      <c r="G992" s="186"/>
      <c r="H992" s="37"/>
      <c r="I992" s="37"/>
      <c r="J992" s="37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2.75" customHeight="1" x14ac:dyDescent="0.25">
      <c r="A993" s="184"/>
      <c r="B993" s="38"/>
      <c r="C993" s="38"/>
      <c r="D993" s="38"/>
      <c r="E993" s="38"/>
      <c r="F993" s="185"/>
      <c r="G993" s="186"/>
      <c r="H993" s="37"/>
      <c r="I993" s="37"/>
      <c r="J993" s="37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2.75" customHeight="1" x14ac:dyDescent="0.25">
      <c r="A994" s="184"/>
      <c r="B994" s="38"/>
      <c r="C994" s="38"/>
      <c r="D994" s="38"/>
      <c r="E994" s="38"/>
      <c r="F994" s="185"/>
      <c r="G994" s="186"/>
      <c r="H994" s="37"/>
      <c r="I994" s="37"/>
      <c r="J994" s="37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2.75" customHeight="1" x14ac:dyDescent="0.25">
      <c r="A995" s="184"/>
      <c r="B995" s="38"/>
      <c r="C995" s="38"/>
      <c r="D995" s="38"/>
      <c r="E995" s="38"/>
      <c r="F995" s="185"/>
      <c r="G995" s="186"/>
      <c r="H995" s="37"/>
      <c r="I995" s="37"/>
      <c r="J995" s="37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2.75" customHeight="1" x14ac:dyDescent="0.25">
      <c r="A996" s="184"/>
      <c r="B996" s="38"/>
      <c r="C996" s="38"/>
      <c r="D996" s="38"/>
      <c r="E996" s="38"/>
      <c r="F996" s="185"/>
      <c r="G996" s="186"/>
      <c r="H996" s="37"/>
      <c r="I996" s="37"/>
      <c r="J996" s="37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2.75" customHeight="1" x14ac:dyDescent="0.25">
      <c r="A997" s="184"/>
      <c r="B997" s="38"/>
      <c r="C997" s="38"/>
      <c r="D997" s="38"/>
      <c r="E997" s="38"/>
      <c r="F997" s="185"/>
      <c r="G997" s="186"/>
      <c r="H997" s="37"/>
      <c r="I997" s="37"/>
      <c r="J997" s="37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2.75" customHeight="1" x14ac:dyDescent="0.25">
      <c r="A998" s="184"/>
      <c r="B998" s="38"/>
      <c r="C998" s="38"/>
      <c r="D998" s="38"/>
      <c r="E998" s="38"/>
      <c r="F998" s="185"/>
      <c r="G998" s="186"/>
      <c r="H998" s="37"/>
      <c r="I998" s="37"/>
      <c r="J998" s="37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2.75" customHeight="1" x14ac:dyDescent="0.25">
      <c r="A999" s="184"/>
      <c r="B999" s="38"/>
      <c r="C999" s="38"/>
      <c r="D999" s="38"/>
      <c r="E999" s="38"/>
      <c r="F999" s="185"/>
      <c r="G999" s="186"/>
      <c r="H999" s="37"/>
      <c r="I999" s="37"/>
      <c r="J999" s="37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2.75" customHeight="1" x14ac:dyDescent="0.25">
      <c r="A1000" s="184"/>
      <c r="B1000" s="38"/>
      <c r="C1000" s="38"/>
      <c r="D1000" s="38"/>
      <c r="E1000" s="38"/>
      <c r="F1000" s="185"/>
      <c r="G1000" s="186"/>
      <c r="H1000" s="37"/>
      <c r="I1000" s="37"/>
      <c r="J1000" s="37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ht="12.75" customHeight="1" x14ac:dyDescent="0.25">
      <c r="A1001" s="184"/>
      <c r="B1001" s="38"/>
      <c r="C1001" s="38"/>
      <c r="D1001" s="38"/>
      <c r="E1001" s="38"/>
      <c r="F1001" s="185"/>
      <c r="G1001" s="186"/>
      <c r="H1001" s="37"/>
      <c r="I1001" s="37"/>
      <c r="J1001" s="37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ht="12.75" customHeight="1" x14ac:dyDescent="0.25">
      <c r="A1002" s="184"/>
      <c r="B1002" s="38"/>
      <c r="C1002" s="38"/>
      <c r="D1002" s="38"/>
      <c r="E1002" s="38"/>
      <c r="F1002" s="185"/>
      <c r="G1002" s="186"/>
      <c r="H1002" s="37"/>
      <c r="I1002" s="37"/>
      <c r="J1002" s="37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ht="12.75" customHeight="1" x14ac:dyDescent="0.25">
      <c r="A1003" s="184"/>
      <c r="B1003" s="38"/>
      <c r="C1003" s="38"/>
      <c r="D1003" s="38"/>
      <c r="E1003" s="38"/>
      <c r="F1003" s="185"/>
      <c r="G1003" s="186"/>
      <c r="H1003" s="37"/>
      <c r="I1003" s="37"/>
      <c r="J1003" s="37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ht="12.75" customHeight="1" x14ac:dyDescent="0.25">
      <c r="A1004" s="184"/>
      <c r="B1004" s="38"/>
      <c r="C1004" s="38"/>
      <c r="D1004" s="38"/>
      <c r="E1004" s="38"/>
      <c r="F1004" s="185"/>
      <c r="G1004" s="186"/>
      <c r="H1004" s="37"/>
      <c r="I1004" s="37"/>
      <c r="J1004" s="37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ht="12.75" customHeight="1" x14ac:dyDescent="0.25">
      <c r="A1005" s="184"/>
      <c r="B1005" s="38"/>
      <c r="C1005" s="38"/>
      <c r="D1005" s="38"/>
      <c r="E1005" s="38"/>
      <c r="F1005" s="185"/>
      <c r="G1005" s="186"/>
      <c r="H1005" s="37"/>
      <c r="I1005" s="37"/>
      <c r="J1005" s="37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ht="12.75" customHeight="1" x14ac:dyDescent="0.25">
      <c r="A1006" s="184"/>
      <c r="B1006" s="38"/>
      <c r="C1006" s="38"/>
      <c r="D1006" s="38"/>
      <c r="E1006" s="38"/>
      <c r="F1006" s="185"/>
      <c r="G1006" s="186"/>
      <c r="H1006" s="37"/>
      <c r="I1006" s="37"/>
      <c r="J1006" s="37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ht="12.75" customHeight="1" x14ac:dyDescent="0.25">
      <c r="A1007" s="184"/>
      <c r="B1007" s="38"/>
      <c r="C1007" s="38"/>
      <c r="D1007" s="38"/>
      <c r="E1007" s="38"/>
      <c r="F1007" s="185"/>
      <c r="G1007" s="186"/>
      <c r="H1007" s="37"/>
      <c r="I1007" s="37"/>
      <c r="J1007" s="37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ht="12.75" customHeight="1" x14ac:dyDescent="0.25">
      <c r="A1008" s="184"/>
      <c r="B1008" s="38"/>
      <c r="C1008" s="38"/>
      <c r="D1008" s="38"/>
      <c r="E1008" s="38"/>
      <c r="F1008" s="185"/>
      <c r="G1008" s="186"/>
      <c r="H1008" s="37"/>
      <c r="I1008" s="37"/>
      <c r="J1008" s="37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ht="12.75" customHeight="1" x14ac:dyDescent="0.25">
      <c r="A1009" s="184"/>
      <c r="B1009" s="38"/>
      <c r="C1009" s="38"/>
      <c r="D1009" s="38"/>
      <c r="E1009" s="38"/>
      <c r="F1009" s="185"/>
      <c r="G1009" s="186"/>
      <c r="H1009" s="37"/>
      <c r="I1009" s="37"/>
      <c r="J1009" s="37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ht="12.75" customHeight="1" x14ac:dyDescent="0.25">
      <c r="A1010" s="184"/>
      <c r="B1010" s="38"/>
      <c r="C1010" s="38"/>
      <c r="D1010" s="38"/>
      <c r="E1010" s="38"/>
      <c r="F1010" s="185"/>
      <c r="G1010" s="186"/>
      <c r="H1010" s="37"/>
      <c r="I1010" s="37"/>
      <c r="J1010" s="37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 ht="12.75" customHeight="1" x14ac:dyDescent="0.25">
      <c r="A1011" s="184"/>
      <c r="B1011" s="38"/>
      <c r="C1011" s="38"/>
      <c r="D1011" s="38"/>
      <c r="E1011" s="38"/>
      <c r="F1011" s="185"/>
      <c r="G1011" s="186"/>
      <c r="H1011" s="37"/>
      <c r="I1011" s="37"/>
      <c r="J1011" s="37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 ht="12.75" customHeight="1" x14ac:dyDescent="0.25">
      <c r="A1012" s="184"/>
      <c r="B1012" s="38"/>
      <c r="C1012" s="38"/>
      <c r="D1012" s="38"/>
      <c r="E1012" s="38"/>
      <c r="F1012" s="185"/>
      <c r="G1012" s="186"/>
      <c r="H1012" s="37"/>
      <c r="I1012" s="37"/>
      <c r="J1012" s="37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 ht="12.75" customHeight="1" x14ac:dyDescent="0.25">
      <c r="A1013" s="184"/>
      <c r="B1013" s="38"/>
      <c r="C1013" s="38"/>
      <c r="D1013" s="38"/>
      <c r="E1013" s="38"/>
      <c r="F1013" s="185"/>
      <c r="G1013" s="186"/>
      <c r="H1013" s="37"/>
      <c r="I1013" s="37"/>
      <c r="J1013" s="37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 ht="12.75" customHeight="1" x14ac:dyDescent="0.25">
      <c r="A1014" s="184"/>
      <c r="B1014" s="38"/>
      <c r="C1014" s="38"/>
      <c r="D1014" s="38"/>
      <c r="E1014" s="38"/>
      <c r="F1014" s="185"/>
      <c r="G1014" s="186"/>
      <c r="H1014" s="37"/>
      <c r="I1014" s="37"/>
      <c r="J1014" s="37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 ht="12.75" customHeight="1" x14ac:dyDescent="0.25">
      <c r="A1015" s="184"/>
      <c r="B1015" s="38"/>
      <c r="C1015" s="38"/>
      <c r="D1015" s="38"/>
      <c r="E1015" s="38"/>
      <c r="F1015" s="185"/>
      <c r="G1015" s="186"/>
      <c r="H1015" s="37"/>
      <c r="I1015" s="37"/>
      <c r="J1015" s="37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 ht="12.75" customHeight="1" x14ac:dyDescent="0.25">
      <c r="A1016" s="184"/>
      <c r="B1016" s="38"/>
      <c r="C1016" s="38"/>
      <c r="D1016" s="38"/>
      <c r="E1016" s="38"/>
      <c r="F1016" s="185"/>
      <c r="G1016" s="186"/>
      <c r="H1016" s="37"/>
      <c r="I1016" s="37"/>
      <c r="J1016" s="37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 ht="12.75" customHeight="1" x14ac:dyDescent="0.25">
      <c r="A1017" s="184"/>
      <c r="B1017" s="38"/>
      <c r="C1017" s="38"/>
      <c r="D1017" s="38"/>
      <c r="E1017" s="38"/>
      <c r="F1017" s="185"/>
      <c r="G1017" s="186"/>
      <c r="H1017" s="37"/>
      <c r="I1017" s="37"/>
      <c r="J1017" s="37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 ht="12.75" customHeight="1" x14ac:dyDescent="0.25">
      <c r="A1018" s="184"/>
      <c r="B1018" s="38"/>
      <c r="C1018" s="38"/>
      <c r="D1018" s="38"/>
      <c r="E1018" s="38"/>
      <c r="F1018" s="185"/>
      <c r="G1018" s="186"/>
      <c r="H1018" s="37"/>
      <c r="I1018" s="37"/>
      <c r="J1018" s="37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 ht="12.75" customHeight="1" x14ac:dyDescent="0.25">
      <c r="A1019" s="184"/>
      <c r="B1019" s="38"/>
      <c r="C1019" s="38"/>
      <c r="D1019" s="38"/>
      <c r="E1019" s="38"/>
      <c r="F1019" s="185"/>
      <c r="G1019" s="186"/>
      <c r="H1019" s="37"/>
      <c r="I1019" s="37"/>
      <c r="J1019" s="37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 ht="12.75" customHeight="1" x14ac:dyDescent="0.25">
      <c r="A1020" s="184"/>
      <c r="B1020" s="38"/>
      <c r="C1020" s="38"/>
      <c r="D1020" s="38"/>
      <c r="E1020" s="38"/>
      <c r="F1020" s="185"/>
      <c r="G1020" s="186"/>
      <c r="H1020" s="37"/>
      <c r="I1020" s="37"/>
      <c r="J1020" s="37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 ht="12.75" customHeight="1" x14ac:dyDescent="0.25">
      <c r="A1021" s="184"/>
      <c r="B1021" s="38"/>
      <c r="C1021" s="38"/>
      <c r="D1021" s="38"/>
      <c r="E1021" s="38"/>
      <c r="F1021" s="185"/>
      <c r="G1021" s="186"/>
      <c r="H1021" s="37"/>
      <c r="I1021" s="37"/>
      <c r="J1021" s="37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 ht="12.75" customHeight="1" x14ac:dyDescent="0.25">
      <c r="A1022" s="184"/>
      <c r="B1022" s="38"/>
      <c r="C1022" s="38"/>
      <c r="D1022" s="38"/>
      <c r="E1022" s="38"/>
      <c r="F1022" s="185"/>
      <c r="G1022" s="186"/>
      <c r="H1022" s="37"/>
      <c r="I1022" s="37"/>
      <c r="J1022" s="37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 ht="12.75" customHeight="1" x14ac:dyDescent="0.25">
      <c r="A1023" s="184"/>
      <c r="B1023" s="38"/>
      <c r="C1023" s="38"/>
      <c r="D1023" s="38"/>
      <c r="E1023" s="38"/>
      <c r="F1023" s="185"/>
      <c r="G1023" s="186"/>
      <c r="H1023" s="37"/>
      <c r="I1023" s="37"/>
      <c r="J1023" s="37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 ht="12.75" customHeight="1" x14ac:dyDescent="0.25">
      <c r="A1024" s="184"/>
      <c r="B1024" s="38"/>
      <c r="C1024" s="38"/>
      <c r="D1024" s="38"/>
      <c r="E1024" s="38"/>
      <c r="F1024" s="185"/>
      <c r="G1024" s="186"/>
      <c r="H1024" s="37"/>
      <c r="I1024" s="37"/>
      <c r="J1024" s="37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 ht="12.75" customHeight="1" x14ac:dyDescent="0.25">
      <c r="A1025" s="184"/>
      <c r="B1025" s="38"/>
      <c r="C1025" s="38"/>
      <c r="D1025" s="38"/>
      <c r="E1025" s="38"/>
      <c r="F1025" s="185"/>
      <c r="G1025" s="186"/>
      <c r="H1025" s="37"/>
      <c r="I1025" s="37"/>
      <c r="J1025" s="37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 ht="12.75" customHeight="1" x14ac:dyDescent="0.25">
      <c r="A1026" s="184"/>
      <c r="B1026" s="38"/>
      <c r="C1026" s="38"/>
      <c r="D1026" s="38"/>
      <c r="E1026" s="38"/>
      <c r="F1026" s="185"/>
      <c r="G1026" s="186"/>
      <c r="H1026" s="37"/>
      <c r="I1026" s="37"/>
      <c r="J1026" s="37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 ht="12.75" customHeight="1" x14ac:dyDescent="0.25">
      <c r="A1027" s="184"/>
      <c r="B1027" s="38"/>
      <c r="C1027" s="38"/>
      <c r="D1027" s="38"/>
      <c r="E1027" s="38"/>
      <c r="F1027" s="185"/>
      <c r="G1027" s="186"/>
      <c r="H1027" s="37"/>
      <c r="I1027" s="37"/>
      <c r="J1027" s="37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 ht="12.75" customHeight="1" x14ac:dyDescent="0.25">
      <c r="A1028" s="184"/>
      <c r="B1028" s="38"/>
      <c r="C1028" s="38"/>
      <c r="D1028" s="38"/>
      <c r="E1028" s="38"/>
      <c r="F1028" s="185"/>
      <c r="G1028" s="186"/>
      <c r="H1028" s="37"/>
      <c r="I1028" s="37"/>
      <c r="J1028" s="37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 ht="12.75" customHeight="1" x14ac:dyDescent="0.25">
      <c r="A1029" s="184"/>
      <c r="B1029" s="38"/>
      <c r="C1029" s="38"/>
      <c r="D1029" s="38"/>
      <c r="E1029" s="38"/>
      <c r="F1029" s="185"/>
      <c r="G1029" s="186"/>
      <c r="H1029" s="37"/>
      <c r="I1029" s="37"/>
      <c r="J1029" s="37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 ht="12.75" customHeight="1" x14ac:dyDescent="0.25">
      <c r="A1030" s="184"/>
      <c r="B1030" s="38"/>
      <c r="C1030" s="38"/>
      <c r="D1030" s="38"/>
      <c r="E1030" s="38"/>
      <c r="F1030" s="185"/>
      <c r="G1030" s="186"/>
      <c r="H1030" s="37"/>
      <c r="I1030" s="37"/>
      <c r="J1030" s="37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 ht="12.75" customHeight="1" x14ac:dyDescent="0.25">
      <c r="A1031" s="184"/>
      <c r="B1031" s="38"/>
      <c r="C1031" s="38"/>
      <c r="D1031" s="38"/>
      <c r="E1031" s="38"/>
      <c r="F1031" s="185"/>
      <c r="G1031" s="186"/>
      <c r="H1031" s="37"/>
      <c r="I1031" s="37"/>
      <c r="J1031" s="37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 ht="12.75" customHeight="1" x14ac:dyDescent="0.25">
      <c r="A1032" s="184"/>
      <c r="B1032" s="38"/>
      <c r="C1032" s="38"/>
      <c r="D1032" s="38"/>
      <c r="E1032" s="38"/>
      <c r="F1032" s="185"/>
      <c r="G1032" s="186"/>
      <c r="H1032" s="37"/>
      <c r="I1032" s="37"/>
      <c r="J1032" s="37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 ht="12.75" customHeight="1" x14ac:dyDescent="0.25">
      <c r="A1033" s="184"/>
      <c r="B1033" s="38"/>
      <c r="C1033" s="38"/>
      <c r="D1033" s="38"/>
      <c r="E1033" s="38"/>
      <c r="F1033" s="185"/>
      <c r="G1033" s="186"/>
      <c r="H1033" s="37"/>
      <c r="I1033" s="37"/>
      <c r="J1033" s="37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 ht="12.75" customHeight="1" x14ac:dyDescent="0.25">
      <c r="A1034" s="184"/>
      <c r="B1034" s="38"/>
      <c r="C1034" s="38"/>
      <c r="D1034" s="38"/>
      <c r="E1034" s="38"/>
      <c r="F1034" s="185"/>
      <c r="G1034" s="186"/>
      <c r="H1034" s="37"/>
      <c r="I1034" s="37"/>
      <c r="J1034" s="37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 ht="12.75" customHeight="1" x14ac:dyDescent="0.25">
      <c r="A1035" s="184"/>
      <c r="B1035" s="38"/>
      <c r="C1035" s="38"/>
      <c r="D1035" s="38"/>
      <c r="E1035" s="38"/>
      <c r="F1035" s="185"/>
      <c r="G1035" s="186"/>
      <c r="H1035" s="37"/>
      <c r="I1035" s="37"/>
      <c r="J1035" s="37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  <row r="1036" spans="1:26" ht="12.75" customHeight="1" x14ac:dyDescent="0.25">
      <c r="A1036" s="184"/>
      <c r="B1036" s="38"/>
      <c r="C1036" s="38"/>
      <c r="D1036" s="38"/>
      <c r="E1036" s="38"/>
      <c r="F1036" s="185"/>
      <c r="G1036" s="186"/>
      <c r="H1036" s="37"/>
      <c r="I1036" s="37"/>
      <c r="J1036" s="37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</row>
    <row r="1037" spans="1:26" ht="12.75" customHeight="1" x14ac:dyDescent="0.25">
      <c r="A1037" s="184"/>
      <c r="B1037" s="38"/>
      <c r="C1037" s="38"/>
      <c r="D1037" s="38"/>
      <c r="E1037" s="38"/>
      <c r="F1037" s="185"/>
      <c r="G1037" s="186"/>
      <c r="H1037" s="37"/>
      <c r="I1037" s="37"/>
      <c r="J1037" s="37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</row>
    <row r="1038" spans="1:26" ht="12.75" customHeight="1" x14ac:dyDescent="0.25">
      <c r="A1038" s="184"/>
      <c r="B1038" s="38"/>
      <c r="C1038" s="38"/>
      <c r="D1038" s="38"/>
      <c r="E1038" s="38"/>
      <c r="F1038" s="185"/>
      <c r="G1038" s="186"/>
      <c r="H1038" s="37"/>
      <c r="I1038" s="37"/>
      <c r="J1038" s="37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</row>
    <row r="1039" spans="1:26" ht="12.75" customHeight="1" x14ac:dyDescent="0.25">
      <c r="A1039" s="184"/>
      <c r="B1039" s="38"/>
      <c r="C1039" s="38"/>
      <c r="D1039" s="38"/>
      <c r="E1039" s="38"/>
      <c r="F1039" s="185"/>
      <c r="G1039" s="186"/>
      <c r="H1039" s="37"/>
      <c r="I1039" s="37"/>
      <c r="J1039" s="37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</row>
    <row r="1040" spans="1:26" ht="12.75" customHeight="1" x14ac:dyDescent="0.25">
      <c r="A1040" s="184"/>
      <c r="B1040" s="38"/>
      <c r="C1040" s="38"/>
      <c r="D1040" s="38"/>
      <c r="E1040" s="38"/>
      <c r="F1040" s="185"/>
      <c r="G1040" s="186"/>
      <c r="H1040" s="37"/>
      <c r="I1040" s="37"/>
      <c r="J1040" s="37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</row>
    <row r="1041" spans="1:26" ht="12.75" customHeight="1" x14ac:dyDescent="0.25">
      <c r="A1041" s="184"/>
      <c r="B1041" s="38"/>
      <c r="C1041" s="38"/>
      <c r="D1041" s="38"/>
      <c r="E1041" s="38"/>
      <c r="F1041" s="185"/>
      <c r="G1041" s="186"/>
      <c r="H1041" s="37"/>
      <c r="I1041" s="37"/>
      <c r="J1041" s="37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</row>
    <row r="1042" spans="1:26" ht="12.75" customHeight="1" x14ac:dyDescent="0.25">
      <c r="A1042" s="184"/>
      <c r="B1042" s="38"/>
      <c r="C1042" s="38"/>
      <c r="D1042" s="38"/>
      <c r="E1042" s="38"/>
      <c r="F1042" s="185"/>
      <c r="G1042" s="186"/>
      <c r="H1042" s="37"/>
      <c r="I1042" s="37"/>
      <c r="J1042" s="37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</row>
    <row r="1043" spans="1:26" ht="12.75" customHeight="1" x14ac:dyDescent="0.25">
      <c r="A1043" s="184"/>
      <c r="B1043" s="38"/>
      <c r="C1043" s="38"/>
      <c r="D1043" s="38"/>
      <c r="E1043" s="38"/>
      <c r="F1043" s="185"/>
      <c r="G1043" s="186"/>
      <c r="H1043" s="37"/>
      <c r="I1043" s="37"/>
      <c r="J1043" s="37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</row>
    <row r="1044" spans="1:26" ht="12.75" customHeight="1" x14ac:dyDescent="0.25">
      <c r="A1044" s="184"/>
      <c r="B1044" s="38"/>
      <c r="C1044" s="38"/>
      <c r="D1044" s="38"/>
      <c r="E1044" s="38"/>
      <c r="F1044" s="185"/>
      <c r="G1044" s="186"/>
      <c r="H1044" s="37"/>
      <c r="I1044" s="37"/>
      <c r="J1044" s="37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</row>
    <row r="1045" spans="1:26" ht="12.75" customHeight="1" x14ac:dyDescent="0.25">
      <c r="A1045" s="184"/>
      <c r="B1045" s="38"/>
      <c r="C1045" s="38"/>
      <c r="D1045" s="38"/>
      <c r="E1045" s="38"/>
      <c r="F1045" s="185"/>
      <c r="G1045" s="186"/>
      <c r="H1045" s="37"/>
      <c r="I1045" s="37"/>
      <c r="J1045" s="37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</row>
    <row r="1046" spans="1:26" ht="12.75" customHeight="1" x14ac:dyDescent="0.25">
      <c r="A1046" s="184"/>
      <c r="B1046" s="38"/>
      <c r="C1046" s="38"/>
      <c r="D1046" s="38"/>
      <c r="E1046" s="38"/>
      <c r="F1046" s="185"/>
      <c r="G1046" s="186"/>
      <c r="H1046" s="37"/>
      <c r="I1046" s="37"/>
      <c r="J1046" s="37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</row>
    <row r="1047" spans="1:26" ht="12.75" customHeight="1" x14ac:dyDescent="0.25">
      <c r="A1047" s="184"/>
      <c r="B1047" s="38"/>
      <c r="C1047" s="38"/>
      <c r="D1047" s="38"/>
      <c r="E1047" s="38"/>
      <c r="F1047" s="185"/>
      <c r="G1047" s="186"/>
      <c r="H1047" s="37"/>
      <c r="I1047" s="37"/>
      <c r="J1047" s="37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</row>
    <row r="1048" spans="1:26" ht="12.75" customHeight="1" x14ac:dyDescent="0.25">
      <c r="A1048" s="184"/>
      <c r="B1048" s="38"/>
      <c r="C1048" s="38"/>
      <c r="D1048" s="38"/>
      <c r="E1048" s="38"/>
      <c r="F1048" s="185"/>
      <c r="G1048" s="186"/>
      <c r="H1048" s="37"/>
      <c r="I1048" s="37"/>
      <c r="J1048" s="37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</row>
    <row r="1049" spans="1:26" ht="12.75" customHeight="1" x14ac:dyDescent="0.25">
      <c r="A1049" s="184"/>
      <c r="B1049" s="38"/>
      <c r="C1049" s="38"/>
      <c r="D1049" s="38"/>
      <c r="E1049" s="38"/>
      <c r="F1049" s="185"/>
      <c r="G1049" s="186"/>
      <c r="H1049" s="37"/>
      <c r="I1049" s="37"/>
      <c r="J1049" s="37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</row>
    <row r="1050" spans="1:26" ht="12.75" customHeight="1" x14ac:dyDescent="0.25">
      <c r="A1050" s="184"/>
      <c r="B1050" s="38"/>
      <c r="C1050" s="38"/>
      <c r="D1050" s="38"/>
      <c r="E1050" s="38"/>
      <c r="F1050" s="185"/>
      <c r="G1050" s="186"/>
      <c r="H1050" s="37"/>
      <c r="I1050" s="37"/>
      <c r="J1050" s="37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</row>
    <row r="1051" spans="1:26" ht="12.75" customHeight="1" x14ac:dyDescent="0.25">
      <c r="A1051" s="184"/>
      <c r="B1051" s="38"/>
      <c r="C1051" s="38"/>
      <c r="D1051" s="38"/>
      <c r="E1051" s="38"/>
      <c r="F1051" s="185"/>
      <c r="G1051" s="186"/>
      <c r="H1051" s="37"/>
      <c r="I1051" s="37"/>
      <c r="J1051" s="37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</row>
    <row r="1052" spans="1:26" ht="12.75" customHeight="1" x14ac:dyDescent="0.25">
      <c r="A1052" s="184"/>
      <c r="B1052" s="38"/>
      <c r="C1052" s="38"/>
      <c r="D1052" s="38"/>
      <c r="E1052" s="38"/>
      <c r="F1052" s="185"/>
      <c r="G1052" s="186"/>
      <c r="H1052" s="37"/>
      <c r="I1052" s="37"/>
      <c r="J1052" s="37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</row>
    <row r="1053" spans="1:26" ht="12.75" customHeight="1" x14ac:dyDescent="0.25">
      <c r="A1053" s="184"/>
      <c r="B1053" s="38"/>
      <c r="C1053" s="38"/>
      <c r="D1053" s="38"/>
      <c r="E1053" s="38"/>
      <c r="F1053" s="185"/>
      <c r="G1053" s="186"/>
      <c r="H1053" s="37"/>
      <c r="I1053" s="37"/>
      <c r="J1053" s="37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</row>
    <row r="1054" spans="1:26" ht="12.75" customHeight="1" x14ac:dyDescent="0.25">
      <c r="A1054" s="184"/>
      <c r="B1054" s="38"/>
      <c r="C1054" s="38"/>
      <c r="D1054" s="38"/>
      <c r="E1054" s="38"/>
      <c r="F1054" s="185"/>
      <c r="G1054" s="186"/>
      <c r="H1054" s="37"/>
      <c r="I1054" s="37"/>
      <c r="J1054" s="37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</row>
    <row r="1055" spans="1:26" ht="12.75" customHeight="1" x14ac:dyDescent="0.25">
      <c r="A1055" s="184"/>
      <c r="B1055" s="38"/>
      <c r="C1055" s="38"/>
      <c r="D1055" s="38"/>
      <c r="E1055" s="38"/>
      <c r="F1055" s="185"/>
      <c r="G1055" s="186"/>
      <c r="H1055" s="37"/>
      <c r="I1055" s="37"/>
      <c r="J1055" s="37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</row>
    <row r="1056" spans="1:26" ht="12.75" customHeight="1" x14ac:dyDescent="0.25">
      <c r="A1056" s="184"/>
      <c r="B1056" s="38"/>
      <c r="C1056" s="38"/>
      <c r="D1056" s="38"/>
      <c r="E1056" s="38"/>
      <c r="F1056" s="185"/>
      <c r="G1056" s="186"/>
      <c r="H1056" s="37"/>
      <c r="I1056" s="37"/>
      <c r="J1056" s="37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</row>
    <row r="1057" spans="1:26" ht="12.75" customHeight="1" x14ac:dyDescent="0.25">
      <c r="A1057" s="184"/>
      <c r="B1057" s="38"/>
      <c r="C1057" s="38"/>
      <c r="D1057" s="38"/>
      <c r="E1057" s="38"/>
      <c r="F1057" s="185"/>
      <c r="G1057" s="186"/>
      <c r="H1057" s="37"/>
      <c r="I1057" s="37"/>
      <c r="J1057" s="37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</row>
    <row r="1058" spans="1:26" ht="12.75" customHeight="1" x14ac:dyDescent="0.25">
      <c r="A1058" s="184"/>
      <c r="B1058" s="38"/>
      <c r="C1058" s="38"/>
      <c r="D1058" s="38"/>
      <c r="E1058" s="38"/>
      <c r="F1058" s="185"/>
      <c r="G1058" s="186"/>
      <c r="H1058" s="37"/>
      <c r="I1058" s="37"/>
      <c r="J1058" s="37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</row>
    <row r="1059" spans="1:26" ht="12.75" customHeight="1" x14ac:dyDescent="0.25">
      <c r="A1059" s="184"/>
      <c r="B1059" s="38"/>
      <c r="C1059" s="38"/>
      <c r="D1059" s="38"/>
      <c r="E1059" s="38"/>
      <c r="F1059" s="185"/>
      <c r="G1059" s="186"/>
      <c r="H1059" s="37"/>
      <c r="I1059" s="37"/>
      <c r="J1059" s="37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</row>
    <row r="1060" spans="1:26" ht="12.75" customHeight="1" x14ac:dyDescent="0.25">
      <c r="A1060" s="184"/>
      <c r="B1060" s="38"/>
      <c r="C1060" s="38"/>
      <c r="D1060" s="38"/>
      <c r="E1060" s="38"/>
      <c r="F1060" s="185"/>
      <c r="G1060" s="186"/>
      <c r="H1060" s="37"/>
      <c r="I1060" s="37"/>
      <c r="J1060" s="37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</row>
    <row r="1061" spans="1:26" ht="12.75" customHeight="1" x14ac:dyDescent="0.25">
      <c r="A1061" s="184"/>
      <c r="B1061" s="38"/>
      <c r="C1061" s="38"/>
      <c r="D1061" s="38"/>
      <c r="E1061" s="38"/>
      <c r="F1061" s="185"/>
      <c r="G1061" s="186"/>
      <c r="H1061" s="37"/>
      <c r="I1061" s="37"/>
      <c r="J1061" s="37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</row>
    <row r="1062" spans="1:26" ht="12.75" customHeight="1" x14ac:dyDescent="0.25">
      <c r="A1062" s="184"/>
      <c r="B1062" s="38"/>
      <c r="C1062" s="38"/>
      <c r="D1062" s="38"/>
      <c r="E1062" s="38"/>
      <c r="F1062" s="185"/>
      <c r="G1062" s="186"/>
      <c r="H1062" s="37"/>
      <c r="I1062" s="37"/>
      <c r="J1062" s="37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</row>
    <row r="1063" spans="1:26" ht="12.75" customHeight="1" x14ac:dyDescent="0.25">
      <c r="A1063" s="184"/>
      <c r="B1063" s="38"/>
      <c r="C1063" s="38"/>
      <c r="D1063" s="38"/>
      <c r="E1063" s="38"/>
      <c r="F1063" s="185"/>
      <c r="G1063" s="186"/>
      <c r="H1063" s="37"/>
      <c r="I1063" s="37"/>
      <c r="J1063" s="37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</row>
    <row r="1064" spans="1:26" ht="12.75" customHeight="1" x14ac:dyDescent="0.25">
      <c r="A1064" s="184"/>
      <c r="B1064" s="38"/>
      <c r="C1064" s="38"/>
      <c r="D1064" s="38"/>
      <c r="E1064" s="38"/>
      <c r="F1064" s="185"/>
      <c r="G1064" s="186"/>
      <c r="H1064" s="37"/>
      <c r="I1064" s="37"/>
      <c r="J1064" s="37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</row>
    <row r="1065" spans="1:26" ht="12.75" customHeight="1" x14ac:dyDescent="0.25">
      <c r="A1065" s="184"/>
      <c r="B1065" s="38"/>
      <c r="C1065" s="38"/>
      <c r="D1065" s="38"/>
      <c r="E1065" s="38"/>
      <c r="F1065" s="185"/>
      <c r="G1065" s="186"/>
      <c r="H1065" s="37"/>
      <c r="I1065" s="37"/>
      <c r="J1065" s="37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</row>
    <row r="1066" spans="1:26" ht="12.75" customHeight="1" x14ac:dyDescent="0.25">
      <c r="A1066" s="184"/>
      <c r="B1066" s="38"/>
      <c r="C1066" s="38"/>
      <c r="D1066" s="38"/>
      <c r="E1066" s="38"/>
      <c r="F1066" s="185"/>
      <c r="G1066" s="186"/>
      <c r="H1066" s="37"/>
      <c r="I1066" s="37"/>
      <c r="J1066" s="37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</row>
    <row r="1067" spans="1:26" ht="12.75" customHeight="1" x14ac:dyDescent="0.25">
      <c r="A1067" s="184"/>
      <c r="B1067" s="38"/>
      <c r="C1067" s="38"/>
      <c r="D1067" s="38"/>
      <c r="E1067" s="38"/>
      <c r="F1067" s="185"/>
      <c r="G1067" s="186"/>
      <c r="H1067" s="37"/>
      <c r="I1067" s="37"/>
      <c r="J1067" s="37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</row>
    <row r="1068" spans="1:26" ht="12.75" customHeight="1" x14ac:dyDescent="0.25">
      <c r="A1068" s="184"/>
      <c r="B1068" s="38"/>
      <c r="C1068" s="38"/>
      <c r="D1068" s="38"/>
      <c r="E1068" s="38"/>
      <c r="F1068" s="185"/>
      <c r="G1068" s="186"/>
      <c r="H1068" s="37"/>
      <c r="I1068" s="37"/>
      <c r="J1068" s="37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</row>
    <row r="1069" spans="1:26" ht="12.75" customHeight="1" x14ac:dyDescent="0.25">
      <c r="A1069" s="184"/>
      <c r="B1069" s="38"/>
      <c r="C1069" s="38"/>
      <c r="D1069" s="38"/>
      <c r="E1069" s="38"/>
      <c r="F1069" s="185"/>
      <c r="G1069" s="186"/>
      <c r="H1069" s="37"/>
      <c r="I1069" s="37"/>
      <c r="J1069" s="37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</row>
    <row r="1070" spans="1:26" ht="12.75" customHeight="1" x14ac:dyDescent="0.25">
      <c r="A1070" s="184"/>
      <c r="B1070" s="38"/>
      <c r="C1070" s="38"/>
      <c r="D1070" s="38"/>
      <c r="E1070" s="38"/>
      <c r="F1070" s="185"/>
      <c r="G1070" s="186"/>
      <c r="H1070" s="37"/>
      <c r="I1070" s="37"/>
      <c r="J1070" s="37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</row>
    <row r="1071" spans="1:26" ht="12.75" customHeight="1" x14ac:dyDescent="0.25">
      <c r="A1071" s="184"/>
      <c r="B1071" s="38"/>
      <c r="C1071" s="38"/>
      <c r="D1071" s="38"/>
      <c r="E1071" s="38"/>
      <c r="F1071" s="185"/>
      <c r="G1071" s="186"/>
      <c r="H1071" s="37"/>
      <c r="I1071" s="37"/>
      <c r="J1071" s="37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</row>
    <row r="1072" spans="1:26" ht="12.75" customHeight="1" x14ac:dyDescent="0.25">
      <c r="A1072" s="184"/>
      <c r="B1072" s="38"/>
      <c r="C1072" s="38"/>
      <c r="D1072" s="38"/>
      <c r="E1072" s="38"/>
      <c r="F1072" s="185"/>
      <c r="G1072" s="186"/>
      <c r="H1072" s="37"/>
      <c r="I1072" s="37"/>
      <c r="J1072" s="37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</row>
    <row r="1073" spans="1:26" ht="12.75" customHeight="1" x14ac:dyDescent="0.25">
      <c r="A1073" s="184"/>
      <c r="B1073" s="38"/>
      <c r="C1073" s="38"/>
      <c r="D1073" s="38"/>
      <c r="E1073" s="38"/>
      <c r="F1073" s="185"/>
      <c r="G1073" s="186"/>
      <c r="H1073" s="37"/>
      <c r="I1073" s="37"/>
      <c r="J1073" s="37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</row>
    <row r="1074" spans="1:26" ht="12.75" customHeight="1" x14ac:dyDescent="0.25">
      <c r="A1074" s="184"/>
      <c r="B1074" s="38"/>
      <c r="C1074" s="38"/>
      <c r="D1074" s="38"/>
      <c r="E1074" s="38"/>
      <c r="F1074" s="185"/>
      <c r="G1074" s="186"/>
      <c r="H1074" s="37"/>
      <c r="I1074" s="37"/>
      <c r="J1074" s="37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</row>
    <row r="1075" spans="1:26" ht="12.75" customHeight="1" x14ac:dyDescent="0.25">
      <c r="A1075" s="184"/>
      <c r="B1075" s="38"/>
      <c r="C1075" s="38"/>
      <c r="D1075" s="38"/>
      <c r="E1075" s="38"/>
      <c r="F1075" s="185"/>
      <c r="G1075" s="186"/>
      <c r="H1075" s="37"/>
      <c r="I1075" s="37"/>
      <c r="J1075" s="37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</row>
    <row r="1076" spans="1:26" ht="12.75" customHeight="1" x14ac:dyDescent="0.25">
      <c r="A1076" s="184"/>
      <c r="B1076" s="38"/>
      <c r="C1076" s="38"/>
      <c r="D1076" s="38"/>
      <c r="E1076" s="38"/>
      <c r="F1076" s="185"/>
      <c r="G1076" s="186"/>
      <c r="H1076" s="37"/>
      <c r="I1076" s="37"/>
      <c r="J1076" s="37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</row>
    <row r="1077" spans="1:26" ht="12.75" customHeight="1" x14ac:dyDescent="0.25">
      <c r="A1077" s="184"/>
      <c r="B1077" s="38"/>
      <c r="C1077" s="38"/>
      <c r="D1077" s="38"/>
      <c r="E1077" s="38"/>
      <c r="F1077" s="185"/>
      <c r="G1077" s="186"/>
      <c r="H1077" s="37"/>
      <c r="I1077" s="37"/>
      <c r="J1077" s="37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</row>
    <row r="1078" spans="1:26" ht="12.75" customHeight="1" x14ac:dyDescent="0.25">
      <c r="A1078" s="184"/>
      <c r="B1078" s="38"/>
      <c r="C1078" s="38"/>
      <c r="D1078" s="38"/>
      <c r="E1078" s="38"/>
      <c r="F1078" s="185"/>
      <c r="G1078" s="186"/>
      <c r="H1078" s="37"/>
      <c r="I1078" s="37"/>
      <c r="J1078" s="37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</row>
    <row r="1079" spans="1:26" ht="12.75" customHeight="1" x14ac:dyDescent="0.25">
      <c r="A1079" s="184"/>
      <c r="B1079" s="38"/>
      <c r="C1079" s="38"/>
      <c r="D1079" s="38"/>
      <c r="E1079" s="38"/>
      <c r="F1079" s="185"/>
      <c r="G1079" s="186"/>
      <c r="H1079" s="37"/>
      <c r="I1079" s="37"/>
      <c r="J1079" s="37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</row>
    <row r="1080" spans="1:26" ht="12.75" customHeight="1" x14ac:dyDescent="0.25">
      <c r="A1080" s="184"/>
      <c r="B1080" s="38"/>
      <c r="C1080" s="38"/>
      <c r="D1080" s="38"/>
      <c r="E1080" s="38"/>
      <c r="F1080" s="185"/>
      <c r="G1080" s="186"/>
      <c r="H1080" s="37"/>
      <c r="I1080" s="37"/>
      <c r="J1080" s="37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</row>
    <row r="1081" spans="1:26" ht="12.75" customHeight="1" x14ac:dyDescent="0.25">
      <c r="A1081" s="184"/>
      <c r="B1081" s="38"/>
      <c r="C1081" s="38"/>
      <c r="D1081" s="38"/>
      <c r="E1081" s="38"/>
      <c r="F1081" s="185"/>
      <c r="G1081" s="186"/>
      <c r="H1081" s="37"/>
      <c r="I1081" s="37"/>
      <c r="J1081" s="37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</row>
    <row r="1082" spans="1:26" ht="12.75" customHeight="1" x14ac:dyDescent="0.25">
      <c r="A1082" s="184"/>
      <c r="B1082" s="38"/>
      <c r="C1082" s="38"/>
      <c r="D1082" s="38"/>
      <c r="E1082" s="38"/>
      <c r="F1082" s="185"/>
      <c r="G1082" s="186"/>
      <c r="H1082" s="37"/>
      <c r="I1082" s="37"/>
      <c r="J1082" s="37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</row>
    <row r="1083" spans="1:26" ht="12.75" customHeight="1" x14ac:dyDescent="0.25">
      <c r="A1083" s="184"/>
      <c r="B1083" s="38"/>
      <c r="C1083" s="38"/>
      <c r="D1083" s="38"/>
      <c r="E1083" s="38"/>
      <c r="F1083" s="185"/>
      <c r="G1083" s="186"/>
      <c r="H1083" s="37"/>
      <c r="I1083" s="37"/>
      <c r="J1083" s="37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</row>
    <row r="1084" spans="1:26" ht="12.75" customHeight="1" x14ac:dyDescent="0.25">
      <c r="A1084" s="184"/>
      <c r="B1084" s="38"/>
      <c r="C1084" s="38"/>
      <c r="D1084" s="38"/>
      <c r="E1084" s="38"/>
      <c r="F1084" s="185"/>
      <c r="G1084" s="186"/>
      <c r="H1084" s="37"/>
      <c r="I1084" s="37"/>
      <c r="J1084" s="37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</row>
    <row r="1085" spans="1:26" ht="12.75" customHeight="1" x14ac:dyDescent="0.25">
      <c r="A1085" s="184"/>
      <c r="B1085" s="38"/>
      <c r="C1085" s="38"/>
      <c r="D1085" s="38"/>
      <c r="E1085" s="38"/>
      <c r="F1085" s="185"/>
      <c r="G1085" s="186"/>
      <c r="H1085" s="37"/>
      <c r="I1085" s="37"/>
      <c r="J1085" s="37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</row>
    <row r="1086" spans="1:26" ht="12.75" customHeight="1" x14ac:dyDescent="0.25">
      <c r="A1086" s="184"/>
      <c r="B1086" s="38"/>
      <c r="C1086" s="38"/>
      <c r="D1086" s="38"/>
      <c r="E1086" s="38"/>
      <c r="F1086" s="185"/>
      <c r="G1086" s="186"/>
      <c r="H1086" s="37"/>
      <c r="I1086" s="37"/>
      <c r="J1086" s="37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</row>
    <row r="1087" spans="1:26" ht="12.75" customHeight="1" x14ac:dyDescent="0.25">
      <c r="A1087" s="184"/>
      <c r="B1087" s="38"/>
      <c r="C1087" s="38"/>
      <c r="D1087" s="38"/>
      <c r="E1087" s="38"/>
      <c r="F1087" s="185"/>
      <c r="G1087" s="186"/>
      <c r="H1087" s="37"/>
      <c r="I1087" s="37"/>
      <c r="J1087" s="37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</row>
    <row r="1088" spans="1:26" ht="12.75" customHeight="1" x14ac:dyDescent="0.25">
      <c r="A1088" s="184"/>
      <c r="B1088" s="38"/>
      <c r="C1088" s="38"/>
      <c r="D1088" s="38"/>
      <c r="E1088" s="38"/>
      <c r="F1088" s="185"/>
      <c r="G1088" s="186"/>
      <c r="H1088" s="37"/>
      <c r="I1088" s="37"/>
      <c r="J1088" s="37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</row>
    <row r="1089" spans="1:26" ht="12.75" customHeight="1" x14ac:dyDescent="0.25">
      <c r="A1089" s="184"/>
      <c r="B1089" s="38"/>
      <c r="C1089" s="38"/>
      <c r="D1089" s="38"/>
      <c r="E1089" s="38"/>
      <c r="F1089" s="185"/>
      <c r="G1089" s="186"/>
      <c r="H1089" s="37"/>
      <c r="I1089" s="37"/>
      <c r="J1089" s="37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</row>
    <row r="1090" spans="1:26" ht="12.75" customHeight="1" x14ac:dyDescent="0.25">
      <c r="A1090" s="184"/>
      <c r="B1090" s="38"/>
      <c r="C1090" s="38"/>
      <c r="D1090" s="38"/>
      <c r="E1090" s="38"/>
      <c r="F1090" s="185"/>
      <c r="G1090" s="186"/>
      <c r="H1090" s="37"/>
      <c r="I1090" s="37"/>
      <c r="J1090" s="37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</row>
    <row r="1091" spans="1:26" ht="12.75" customHeight="1" x14ac:dyDescent="0.25">
      <c r="A1091" s="184"/>
      <c r="B1091" s="38"/>
      <c r="C1091" s="38"/>
      <c r="D1091" s="38"/>
      <c r="E1091" s="38"/>
      <c r="F1091" s="185"/>
      <c r="G1091" s="186"/>
      <c r="H1091" s="37"/>
      <c r="I1091" s="37"/>
      <c r="J1091" s="37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</row>
    <row r="1092" spans="1:26" ht="12.75" customHeight="1" x14ac:dyDescent="0.25">
      <c r="A1092" s="184"/>
      <c r="B1092" s="38"/>
      <c r="C1092" s="38"/>
      <c r="D1092" s="38"/>
      <c r="E1092" s="38"/>
      <c r="F1092" s="185"/>
      <c r="G1092" s="186"/>
      <c r="H1092" s="37"/>
      <c r="I1092" s="37"/>
      <c r="J1092" s="37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</row>
    <row r="1093" spans="1:26" ht="12.75" customHeight="1" x14ac:dyDescent="0.25">
      <c r="A1093" s="184"/>
      <c r="B1093" s="38"/>
      <c r="C1093" s="38"/>
      <c r="D1093" s="38"/>
      <c r="E1093" s="38"/>
      <c r="F1093" s="185"/>
      <c r="G1093" s="186"/>
      <c r="H1093" s="37"/>
      <c r="I1093" s="37"/>
      <c r="J1093" s="37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</row>
    <row r="1094" spans="1:26" ht="12.75" customHeight="1" x14ac:dyDescent="0.25">
      <c r="A1094" s="184"/>
      <c r="B1094" s="38"/>
      <c r="C1094" s="38"/>
      <c r="D1094" s="38"/>
      <c r="E1094" s="38"/>
      <c r="F1094" s="185"/>
      <c r="G1094" s="186"/>
      <c r="H1094" s="37"/>
      <c r="I1094" s="37"/>
      <c r="J1094" s="37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</row>
    <row r="1095" spans="1:26" ht="12.75" customHeight="1" x14ac:dyDescent="0.25">
      <c r="A1095" s="184"/>
      <c r="B1095" s="38"/>
      <c r="C1095" s="38"/>
      <c r="D1095" s="38"/>
      <c r="E1095" s="38"/>
      <c r="F1095" s="185"/>
      <c r="G1095" s="186"/>
      <c r="H1095" s="37"/>
      <c r="I1095" s="37"/>
      <c r="J1095" s="37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</row>
    <row r="1096" spans="1:26" ht="12.75" customHeight="1" x14ac:dyDescent="0.25">
      <c r="A1096" s="184"/>
      <c r="B1096" s="38"/>
      <c r="C1096" s="38"/>
      <c r="D1096" s="38"/>
      <c r="E1096" s="38"/>
      <c r="F1096" s="185"/>
      <c r="G1096" s="186"/>
      <c r="H1096" s="37"/>
      <c r="I1096" s="37"/>
      <c r="J1096" s="37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</row>
    <row r="1097" spans="1:26" ht="12.75" customHeight="1" x14ac:dyDescent="0.25">
      <c r="A1097" s="184"/>
      <c r="B1097" s="38"/>
      <c r="C1097" s="38"/>
      <c r="D1097" s="38"/>
      <c r="E1097" s="38"/>
      <c r="F1097" s="185"/>
      <c r="G1097" s="186"/>
      <c r="H1097" s="37"/>
      <c r="I1097" s="37"/>
      <c r="J1097" s="37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</row>
    <row r="1098" spans="1:26" ht="12.75" customHeight="1" x14ac:dyDescent="0.25">
      <c r="A1098" s="184"/>
      <c r="B1098" s="38"/>
      <c r="C1098" s="38"/>
      <c r="D1098" s="38"/>
      <c r="E1098" s="38"/>
      <c r="F1098" s="185"/>
      <c r="G1098" s="186"/>
      <c r="H1098" s="37"/>
      <c r="I1098" s="37"/>
      <c r="J1098" s="37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</row>
    <row r="1099" spans="1:26" ht="12.75" customHeight="1" x14ac:dyDescent="0.25">
      <c r="A1099" s="184"/>
      <c r="B1099" s="38"/>
      <c r="C1099" s="38"/>
      <c r="D1099" s="38"/>
      <c r="E1099" s="38"/>
      <c r="F1099" s="185"/>
      <c r="G1099" s="186"/>
      <c r="H1099" s="37"/>
      <c r="I1099" s="37"/>
      <c r="J1099" s="37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</row>
    <row r="1100" spans="1:26" ht="12.75" customHeight="1" x14ac:dyDescent="0.25">
      <c r="A1100" s="184"/>
      <c r="B1100" s="38"/>
      <c r="C1100" s="38"/>
      <c r="D1100" s="38"/>
      <c r="E1100" s="38"/>
      <c r="F1100" s="185"/>
      <c r="G1100" s="186"/>
      <c r="H1100" s="37"/>
      <c r="I1100" s="37"/>
      <c r="J1100" s="37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</row>
    <row r="1101" spans="1:26" ht="12.75" customHeight="1" x14ac:dyDescent="0.25">
      <c r="A1101" s="184"/>
      <c r="B1101" s="38"/>
      <c r="C1101" s="38"/>
      <c r="D1101" s="38"/>
      <c r="E1101" s="38"/>
      <c r="F1101" s="185"/>
      <c r="G1101" s="186"/>
      <c r="H1101" s="37"/>
      <c r="I1101" s="37"/>
      <c r="J1101" s="37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</row>
    <row r="1102" spans="1:26" ht="12.75" customHeight="1" x14ac:dyDescent="0.25">
      <c r="A1102" s="184"/>
      <c r="B1102" s="38"/>
      <c r="C1102" s="38"/>
      <c r="D1102" s="38"/>
      <c r="E1102" s="38"/>
      <c r="F1102" s="185"/>
      <c r="G1102" s="186"/>
      <c r="H1102" s="37"/>
      <c r="I1102" s="37"/>
      <c r="J1102" s="37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</row>
    <row r="1103" spans="1:26" ht="12.75" customHeight="1" x14ac:dyDescent="0.25">
      <c r="A1103" s="184"/>
      <c r="B1103" s="38"/>
      <c r="C1103" s="38"/>
      <c r="D1103" s="38"/>
      <c r="E1103" s="38"/>
      <c r="F1103" s="185"/>
      <c r="G1103" s="186"/>
      <c r="H1103" s="37"/>
      <c r="I1103" s="37"/>
      <c r="J1103" s="37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</row>
    <row r="1104" spans="1:26" ht="12.75" customHeight="1" x14ac:dyDescent="0.25">
      <c r="A1104" s="184"/>
      <c r="B1104" s="38"/>
      <c r="C1104" s="38"/>
      <c r="D1104" s="38"/>
      <c r="E1104" s="38"/>
      <c r="F1104" s="185"/>
      <c r="G1104" s="186"/>
      <c r="H1104" s="37"/>
      <c r="I1104" s="37"/>
      <c r="J1104" s="37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</row>
    <row r="1105" spans="1:26" ht="12.75" customHeight="1" x14ac:dyDescent="0.25">
      <c r="A1105" s="184"/>
      <c r="B1105" s="38"/>
      <c r="C1105" s="38"/>
      <c r="D1105" s="38"/>
      <c r="E1105" s="38"/>
      <c r="F1105" s="185"/>
      <c r="G1105" s="186"/>
      <c r="H1105" s="37"/>
      <c r="I1105" s="37"/>
      <c r="J1105" s="37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</row>
    <row r="1106" spans="1:26" ht="12.75" customHeight="1" x14ac:dyDescent="0.25">
      <c r="A1106" s="184"/>
      <c r="B1106" s="38"/>
      <c r="C1106" s="38"/>
      <c r="D1106" s="38"/>
      <c r="E1106" s="38"/>
      <c r="F1106" s="185"/>
      <c r="G1106" s="186"/>
      <c r="H1106" s="37"/>
      <c r="I1106" s="37"/>
      <c r="J1106" s="37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</row>
    <row r="1107" spans="1:26" ht="12.75" customHeight="1" x14ac:dyDescent="0.25">
      <c r="A1107" s="184"/>
      <c r="B1107" s="38"/>
      <c r="C1107" s="38"/>
      <c r="D1107" s="38"/>
      <c r="E1107" s="38"/>
      <c r="F1107" s="185"/>
      <c r="G1107" s="186"/>
      <c r="H1107" s="37"/>
      <c r="I1107" s="37"/>
      <c r="J1107" s="37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</row>
    <row r="1108" spans="1:26" ht="12.75" customHeight="1" x14ac:dyDescent="0.25">
      <c r="A1108" s="184"/>
      <c r="B1108" s="38"/>
      <c r="C1108" s="38"/>
      <c r="D1108" s="38"/>
      <c r="E1108" s="38"/>
      <c r="F1108" s="185"/>
      <c r="G1108" s="186"/>
      <c r="H1108" s="37"/>
      <c r="I1108" s="37"/>
      <c r="J1108" s="37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</row>
    <row r="1109" spans="1:26" ht="12.75" customHeight="1" x14ac:dyDescent="0.25">
      <c r="A1109" s="184"/>
      <c r="B1109" s="38"/>
      <c r="C1109" s="38"/>
      <c r="D1109" s="38"/>
      <c r="E1109" s="38"/>
      <c r="F1109" s="185"/>
      <c r="G1109" s="186"/>
      <c r="H1109" s="37"/>
      <c r="I1109" s="37"/>
      <c r="J1109" s="37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</row>
    <row r="1110" spans="1:26" ht="12.75" customHeight="1" x14ac:dyDescent="0.25">
      <c r="A1110" s="184"/>
      <c r="B1110" s="38"/>
      <c r="C1110" s="38"/>
      <c r="D1110" s="38"/>
      <c r="E1110" s="38"/>
      <c r="F1110" s="185"/>
      <c r="G1110" s="186"/>
      <c r="H1110" s="37"/>
      <c r="I1110" s="37"/>
      <c r="J1110" s="37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</row>
    <row r="1111" spans="1:26" ht="12.75" customHeight="1" x14ac:dyDescent="0.25">
      <c r="A1111" s="184"/>
      <c r="B1111" s="38"/>
      <c r="C1111" s="38"/>
      <c r="D1111" s="38"/>
      <c r="E1111" s="38"/>
      <c r="F1111" s="185"/>
      <c r="G1111" s="186"/>
      <c r="H1111" s="37"/>
      <c r="I1111" s="37"/>
      <c r="J1111" s="37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</row>
    <row r="1112" spans="1:26" ht="12.75" customHeight="1" x14ac:dyDescent="0.25">
      <c r="A1112" s="184"/>
      <c r="B1112" s="38"/>
      <c r="C1112" s="38"/>
      <c r="D1112" s="38"/>
      <c r="E1112" s="38"/>
      <c r="F1112" s="185"/>
      <c r="G1112" s="186"/>
      <c r="H1112" s="37"/>
      <c r="I1112" s="37"/>
      <c r="J1112" s="37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</row>
    <row r="1113" spans="1:26" ht="12.75" customHeight="1" x14ac:dyDescent="0.25">
      <c r="A1113" s="184"/>
      <c r="B1113" s="38"/>
      <c r="C1113" s="38"/>
      <c r="D1113" s="38"/>
      <c r="E1113" s="38"/>
      <c r="F1113" s="185"/>
      <c r="G1113" s="186"/>
      <c r="H1113" s="37"/>
      <c r="I1113" s="37"/>
      <c r="J1113" s="37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</row>
    <row r="1114" spans="1:26" ht="12.75" customHeight="1" x14ac:dyDescent="0.25">
      <c r="A1114" s="184"/>
      <c r="B1114" s="38"/>
      <c r="C1114" s="38"/>
      <c r="D1114" s="38"/>
      <c r="E1114" s="38"/>
      <c r="F1114" s="185"/>
      <c r="G1114" s="186"/>
      <c r="H1114" s="37"/>
      <c r="I1114" s="37"/>
      <c r="J1114" s="37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</row>
    <row r="1115" spans="1:26" ht="12.75" customHeight="1" x14ac:dyDescent="0.25">
      <c r="A1115" s="184"/>
      <c r="B1115" s="38"/>
      <c r="C1115" s="38"/>
      <c r="D1115" s="38"/>
      <c r="E1115" s="38"/>
      <c r="F1115" s="185"/>
      <c r="G1115" s="186"/>
      <c r="H1115" s="37"/>
      <c r="I1115" s="37"/>
      <c r="J1115" s="37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</row>
    <row r="1116" spans="1:26" ht="12.75" customHeight="1" x14ac:dyDescent="0.25">
      <c r="A1116" s="184"/>
      <c r="B1116" s="38"/>
      <c r="C1116" s="38"/>
      <c r="D1116" s="38"/>
      <c r="E1116" s="38"/>
      <c r="F1116" s="185"/>
      <c r="G1116" s="186"/>
      <c r="H1116" s="37"/>
      <c r="I1116" s="37"/>
      <c r="J1116" s="37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</row>
    <row r="1117" spans="1:26" ht="12.75" customHeight="1" x14ac:dyDescent="0.25">
      <c r="A1117" s="184"/>
      <c r="B1117" s="38"/>
      <c r="C1117" s="38"/>
      <c r="D1117" s="38"/>
      <c r="E1117" s="38"/>
      <c r="F1117" s="185"/>
      <c r="G1117" s="186"/>
      <c r="H1117" s="37"/>
      <c r="I1117" s="37"/>
      <c r="J1117" s="37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</row>
    <row r="1118" spans="1:26" ht="12.75" customHeight="1" x14ac:dyDescent="0.25">
      <c r="A1118" s="184"/>
      <c r="B1118" s="38"/>
      <c r="C1118" s="38"/>
      <c r="D1118" s="38"/>
      <c r="E1118" s="38"/>
      <c r="F1118" s="185"/>
      <c r="G1118" s="186"/>
      <c r="H1118" s="37"/>
      <c r="I1118" s="37"/>
      <c r="J1118" s="37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</row>
    <row r="1119" spans="1:26" ht="12.75" customHeight="1" x14ac:dyDescent="0.25">
      <c r="A1119" s="184"/>
      <c r="B1119" s="38"/>
      <c r="C1119" s="38"/>
      <c r="D1119" s="38"/>
      <c r="E1119" s="38"/>
      <c r="F1119" s="185"/>
      <c r="G1119" s="186"/>
      <c r="H1119" s="37"/>
      <c r="I1119" s="37"/>
      <c r="J1119" s="37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</row>
    <row r="1120" spans="1:26" ht="12.75" customHeight="1" x14ac:dyDescent="0.25">
      <c r="A1120" s="184"/>
      <c r="B1120" s="38"/>
      <c r="C1120" s="38"/>
      <c r="D1120" s="38"/>
      <c r="E1120" s="38"/>
      <c r="F1120" s="185"/>
      <c r="G1120" s="186"/>
      <c r="H1120" s="37"/>
      <c r="I1120" s="37"/>
      <c r="J1120" s="37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</row>
    <row r="1121" spans="1:26" ht="12.75" customHeight="1" x14ac:dyDescent="0.25">
      <c r="A1121" s="184"/>
      <c r="B1121" s="38"/>
      <c r="C1121" s="38"/>
      <c r="D1121" s="38"/>
      <c r="E1121" s="38"/>
      <c r="F1121" s="185"/>
      <c r="G1121" s="186"/>
      <c r="H1121" s="37"/>
      <c r="I1121" s="37"/>
      <c r="J1121" s="37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</row>
    <row r="1122" spans="1:26" ht="12.75" customHeight="1" x14ac:dyDescent="0.25">
      <c r="A1122" s="184"/>
      <c r="B1122" s="38"/>
      <c r="C1122" s="38"/>
      <c r="D1122" s="38"/>
      <c r="E1122" s="38"/>
      <c r="F1122" s="185"/>
      <c r="G1122" s="186"/>
      <c r="H1122" s="37"/>
      <c r="I1122" s="37"/>
      <c r="J1122" s="37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</row>
    <row r="1123" spans="1:26" ht="12.75" customHeight="1" x14ac:dyDescent="0.25">
      <c r="A1123" s="184"/>
      <c r="B1123" s="38"/>
      <c r="C1123" s="38"/>
      <c r="D1123" s="38"/>
      <c r="E1123" s="38"/>
      <c r="F1123" s="185"/>
      <c r="G1123" s="186"/>
      <c r="H1123" s="37"/>
      <c r="I1123" s="37"/>
      <c r="J1123" s="37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</row>
    <row r="1124" spans="1:26" ht="12.75" customHeight="1" x14ac:dyDescent="0.25">
      <c r="A1124" s="184"/>
      <c r="B1124" s="38"/>
      <c r="C1124" s="38"/>
      <c r="D1124" s="38"/>
      <c r="E1124" s="38"/>
      <c r="F1124" s="185"/>
      <c r="G1124" s="186"/>
      <c r="H1124" s="37"/>
      <c r="I1124" s="37"/>
      <c r="J1124" s="37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</row>
    <row r="1125" spans="1:26" ht="12.75" customHeight="1" x14ac:dyDescent="0.25">
      <c r="A1125" s="184"/>
      <c r="B1125" s="38"/>
      <c r="C1125" s="38"/>
      <c r="D1125" s="38"/>
      <c r="E1125" s="38"/>
      <c r="F1125" s="185"/>
      <c r="G1125" s="186"/>
      <c r="H1125" s="37"/>
      <c r="I1125" s="37"/>
      <c r="J1125" s="37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</row>
    <row r="1126" spans="1:26" ht="12.75" customHeight="1" x14ac:dyDescent="0.25">
      <c r="A1126" s="184"/>
      <c r="B1126" s="38"/>
      <c r="C1126" s="38"/>
      <c r="D1126" s="38"/>
      <c r="E1126" s="38"/>
      <c r="F1126" s="185"/>
      <c r="G1126" s="186"/>
      <c r="H1126" s="37"/>
      <c r="I1126" s="37"/>
      <c r="J1126" s="37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</row>
    <row r="1127" spans="1:26" ht="12.75" customHeight="1" x14ac:dyDescent="0.25">
      <c r="A1127" s="184"/>
      <c r="B1127" s="38"/>
      <c r="C1127" s="38"/>
      <c r="D1127" s="38"/>
      <c r="E1127" s="38"/>
      <c r="F1127" s="185"/>
      <c r="G1127" s="186"/>
      <c r="H1127" s="37"/>
      <c r="I1127" s="37"/>
      <c r="J1127" s="37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</row>
    <row r="1128" spans="1:26" ht="12.75" customHeight="1" x14ac:dyDescent="0.25">
      <c r="A1128" s="184"/>
      <c r="B1128" s="38"/>
      <c r="C1128" s="38"/>
      <c r="D1128" s="38"/>
      <c r="E1128" s="38"/>
      <c r="F1128" s="185"/>
      <c r="G1128" s="186"/>
      <c r="H1128" s="37"/>
      <c r="I1128" s="37"/>
      <c r="J1128" s="37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</row>
    <row r="1129" spans="1:26" ht="12.75" customHeight="1" x14ac:dyDescent="0.25">
      <c r="A1129" s="184"/>
      <c r="B1129" s="38"/>
      <c r="C1129" s="38"/>
      <c r="D1129" s="38"/>
      <c r="E1129" s="38"/>
      <c r="F1129" s="185"/>
      <c r="G1129" s="186"/>
      <c r="H1129" s="37"/>
      <c r="I1129" s="37"/>
      <c r="J1129" s="37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</row>
    <row r="1130" spans="1:26" ht="12.75" customHeight="1" x14ac:dyDescent="0.25">
      <c r="A1130" s="184"/>
      <c r="B1130" s="38"/>
      <c r="C1130" s="38"/>
      <c r="D1130" s="38"/>
      <c r="E1130" s="38"/>
      <c r="F1130" s="185"/>
      <c r="G1130" s="186"/>
      <c r="H1130" s="37"/>
      <c r="I1130" s="37"/>
      <c r="J1130" s="37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</row>
    <row r="1131" spans="1:26" ht="12.75" customHeight="1" x14ac:dyDescent="0.25">
      <c r="A1131" s="184"/>
      <c r="B1131" s="38"/>
      <c r="C1131" s="38"/>
      <c r="D1131" s="38"/>
      <c r="E1131" s="38"/>
      <c r="F1131" s="185"/>
      <c r="G1131" s="186"/>
      <c r="H1131" s="37"/>
      <c r="I1131" s="37"/>
      <c r="J1131" s="37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</row>
    <row r="1132" spans="1:26" ht="12.75" customHeight="1" x14ac:dyDescent="0.25">
      <c r="A1132" s="184"/>
      <c r="B1132" s="38"/>
      <c r="C1132" s="38"/>
      <c r="D1132" s="38"/>
      <c r="E1132" s="38"/>
      <c r="F1132" s="185"/>
      <c r="G1132" s="186"/>
      <c r="H1132" s="37"/>
      <c r="I1132" s="37"/>
      <c r="J1132" s="37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</row>
    <row r="1133" spans="1:26" ht="12.75" customHeight="1" x14ac:dyDescent="0.25">
      <c r="A1133" s="184"/>
      <c r="B1133" s="38"/>
      <c r="C1133" s="38"/>
      <c r="D1133" s="38"/>
      <c r="E1133" s="38"/>
      <c r="F1133" s="185"/>
      <c r="G1133" s="186"/>
      <c r="H1133" s="37"/>
      <c r="I1133" s="37"/>
      <c r="J1133" s="37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</row>
    <row r="1134" spans="1:26" ht="12.75" customHeight="1" x14ac:dyDescent="0.25">
      <c r="A1134" s="184"/>
      <c r="B1134" s="38"/>
      <c r="C1134" s="38"/>
      <c r="D1134" s="38"/>
      <c r="E1134" s="38"/>
      <c r="F1134" s="185"/>
      <c r="G1134" s="186"/>
      <c r="H1134" s="37"/>
      <c r="I1134" s="37"/>
      <c r="J1134" s="37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</row>
    <row r="1135" spans="1:26" ht="12.75" customHeight="1" x14ac:dyDescent="0.25">
      <c r="A1135" s="184"/>
      <c r="B1135" s="38"/>
      <c r="C1135" s="38"/>
      <c r="D1135" s="38"/>
      <c r="E1135" s="38"/>
      <c r="F1135" s="185"/>
      <c r="G1135" s="186"/>
      <c r="H1135" s="37"/>
      <c r="I1135" s="37"/>
      <c r="J1135" s="37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</row>
    <row r="1136" spans="1:26" ht="12.75" customHeight="1" x14ac:dyDescent="0.25">
      <c r="A1136" s="184"/>
      <c r="B1136" s="38"/>
      <c r="C1136" s="38"/>
      <c r="D1136" s="38"/>
      <c r="E1136" s="38"/>
      <c r="F1136" s="185"/>
      <c r="G1136" s="186"/>
      <c r="H1136" s="37"/>
      <c r="I1136" s="37"/>
      <c r="J1136" s="37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</row>
    <row r="1137" spans="1:26" ht="12.75" customHeight="1" x14ac:dyDescent="0.25">
      <c r="A1137" s="184"/>
      <c r="B1137" s="38"/>
      <c r="C1137" s="38"/>
      <c r="D1137" s="38"/>
      <c r="E1137" s="38"/>
      <c r="F1137" s="185"/>
      <c r="G1137" s="186"/>
      <c r="H1137" s="37"/>
      <c r="I1137" s="37"/>
      <c r="J1137" s="37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</row>
    <row r="1138" spans="1:26" ht="12.75" customHeight="1" x14ac:dyDescent="0.25">
      <c r="A1138" s="184"/>
      <c r="B1138" s="38"/>
      <c r="C1138" s="38"/>
      <c r="D1138" s="38"/>
      <c r="E1138" s="38"/>
      <c r="F1138" s="185"/>
      <c r="G1138" s="186"/>
      <c r="H1138" s="37"/>
      <c r="I1138" s="37"/>
      <c r="J1138" s="37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</row>
    <row r="1139" spans="1:26" ht="12.75" customHeight="1" x14ac:dyDescent="0.25">
      <c r="A1139" s="184"/>
      <c r="B1139" s="38"/>
      <c r="C1139" s="38"/>
      <c r="D1139" s="38"/>
      <c r="E1139" s="38"/>
      <c r="F1139" s="185"/>
      <c r="G1139" s="186"/>
      <c r="H1139" s="37"/>
      <c r="I1139" s="37"/>
      <c r="J1139" s="37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</row>
    <row r="1140" spans="1:26" ht="12.75" customHeight="1" x14ac:dyDescent="0.25">
      <c r="A1140" s="184"/>
      <c r="B1140" s="38"/>
      <c r="C1140" s="38"/>
      <c r="D1140" s="38"/>
      <c r="E1140" s="38"/>
      <c r="F1140" s="185"/>
      <c r="G1140" s="186"/>
      <c r="H1140" s="37"/>
      <c r="I1140" s="37"/>
      <c r="J1140" s="37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</row>
    <row r="1141" spans="1:26" ht="12.75" customHeight="1" x14ac:dyDescent="0.25">
      <c r="A1141" s="184"/>
      <c r="B1141" s="38"/>
      <c r="C1141" s="38"/>
      <c r="D1141" s="38"/>
      <c r="E1141" s="38"/>
      <c r="F1141" s="185"/>
      <c r="G1141" s="186"/>
      <c r="H1141" s="37"/>
      <c r="I1141" s="37"/>
      <c r="J1141" s="37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</row>
    <row r="1142" spans="1:26" ht="12.75" customHeight="1" x14ac:dyDescent="0.25">
      <c r="A1142" s="184"/>
      <c r="B1142" s="38"/>
      <c r="C1142" s="38"/>
      <c r="D1142" s="38"/>
      <c r="E1142" s="38"/>
      <c r="F1142" s="185"/>
      <c r="G1142" s="186"/>
      <c r="H1142" s="37"/>
      <c r="I1142" s="37"/>
      <c r="J1142" s="37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</row>
    <row r="1143" spans="1:26" ht="12.75" customHeight="1" x14ac:dyDescent="0.25">
      <c r="A1143" s="184"/>
      <c r="B1143" s="38"/>
      <c r="C1143" s="38"/>
      <c r="D1143" s="38"/>
      <c r="E1143" s="38"/>
      <c r="F1143" s="185"/>
      <c r="G1143" s="186"/>
      <c r="H1143" s="37"/>
      <c r="I1143" s="37"/>
      <c r="J1143" s="37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</row>
    <row r="1144" spans="1:26" ht="12.75" customHeight="1" x14ac:dyDescent="0.25">
      <c r="A1144" s="184"/>
      <c r="B1144" s="38"/>
      <c r="C1144" s="38"/>
      <c r="D1144" s="38"/>
      <c r="E1144" s="38"/>
      <c r="F1144" s="185"/>
      <c r="G1144" s="186"/>
      <c r="H1144" s="37"/>
      <c r="I1144" s="37"/>
      <c r="J1144" s="37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</row>
    <row r="1145" spans="1:26" ht="12.75" customHeight="1" x14ac:dyDescent="0.25">
      <c r="A1145" s="184"/>
      <c r="B1145" s="38"/>
      <c r="C1145" s="38"/>
      <c r="D1145" s="38"/>
      <c r="E1145" s="38"/>
      <c r="F1145" s="185"/>
      <c r="G1145" s="186"/>
      <c r="H1145" s="37"/>
      <c r="I1145" s="37"/>
      <c r="J1145" s="37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</row>
    <row r="1146" spans="1:26" ht="12.75" customHeight="1" x14ac:dyDescent="0.25">
      <c r="A1146" s="184"/>
      <c r="B1146" s="38"/>
      <c r="C1146" s="38"/>
      <c r="D1146" s="38"/>
      <c r="E1146" s="38"/>
      <c r="F1146" s="185"/>
      <c r="G1146" s="186"/>
      <c r="H1146" s="37"/>
      <c r="I1146" s="37"/>
      <c r="J1146" s="37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</row>
    <row r="1147" spans="1:26" ht="12.75" customHeight="1" x14ac:dyDescent="0.25">
      <c r="A1147" s="184"/>
      <c r="B1147" s="38"/>
      <c r="C1147" s="38"/>
      <c r="D1147" s="38"/>
      <c r="E1147" s="38"/>
      <c r="F1147" s="185"/>
      <c r="G1147" s="186"/>
      <c r="H1147" s="37"/>
      <c r="I1147" s="37"/>
      <c r="J1147" s="37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</row>
    <row r="1148" spans="1:26" ht="12.75" customHeight="1" x14ac:dyDescent="0.25">
      <c r="A1148" s="184"/>
      <c r="B1148" s="38"/>
      <c r="C1148" s="38"/>
      <c r="D1148" s="38"/>
      <c r="E1148" s="38"/>
      <c r="F1148" s="185"/>
      <c r="G1148" s="186"/>
      <c r="H1148" s="37"/>
      <c r="I1148" s="37"/>
      <c r="J1148" s="37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</row>
    <row r="1149" spans="1:26" ht="12.75" customHeight="1" x14ac:dyDescent="0.25">
      <c r="A1149" s="184"/>
      <c r="B1149" s="38"/>
      <c r="C1149" s="38"/>
      <c r="D1149" s="38"/>
      <c r="E1149" s="38"/>
      <c r="F1149" s="185"/>
      <c r="G1149" s="186"/>
      <c r="H1149" s="37"/>
      <c r="I1149" s="37"/>
      <c r="J1149" s="37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</row>
    <row r="1150" spans="1:26" ht="12.75" customHeight="1" x14ac:dyDescent="0.25">
      <c r="A1150" s="184"/>
      <c r="B1150" s="38"/>
      <c r="C1150" s="38"/>
      <c r="D1150" s="38"/>
      <c r="E1150" s="38"/>
      <c r="F1150" s="185"/>
      <c r="G1150" s="186"/>
      <c r="H1150" s="37"/>
      <c r="I1150" s="37"/>
      <c r="J1150" s="37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</row>
    <row r="1151" spans="1:26" ht="12.75" customHeight="1" x14ac:dyDescent="0.25">
      <c r="A1151" s="184"/>
      <c r="B1151" s="38"/>
      <c r="C1151" s="38"/>
      <c r="D1151" s="38"/>
      <c r="E1151" s="38"/>
      <c r="F1151" s="185"/>
      <c r="G1151" s="186"/>
      <c r="H1151" s="37"/>
      <c r="I1151" s="37"/>
      <c r="J1151" s="37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</row>
    <row r="1152" spans="1:26" ht="12.75" customHeight="1" x14ac:dyDescent="0.25">
      <c r="A1152" s="184"/>
      <c r="B1152" s="38"/>
      <c r="C1152" s="38"/>
      <c r="D1152" s="38"/>
      <c r="E1152" s="38"/>
      <c r="F1152" s="185"/>
      <c r="G1152" s="186"/>
      <c r="H1152" s="37"/>
      <c r="I1152" s="37"/>
      <c r="J1152" s="37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</row>
    <row r="1153" spans="1:26" ht="12.75" customHeight="1" x14ac:dyDescent="0.25">
      <c r="A1153" s="184"/>
      <c r="B1153" s="38"/>
      <c r="C1153" s="38"/>
      <c r="D1153" s="38"/>
      <c r="E1153" s="38"/>
      <c r="F1153" s="185"/>
      <c r="G1153" s="186"/>
      <c r="H1153" s="37"/>
      <c r="I1153" s="37"/>
      <c r="J1153" s="37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</row>
    <row r="1154" spans="1:26" ht="12.75" customHeight="1" x14ac:dyDescent="0.25">
      <c r="A1154" s="184"/>
      <c r="B1154" s="38"/>
      <c r="C1154" s="38"/>
      <c r="D1154" s="38"/>
      <c r="E1154" s="38"/>
      <c r="F1154" s="185"/>
      <c r="G1154" s="186"/>
      <c r="H1154" s="37"/>
      <c r="I1154" s="37"/>
      <c r="J1154" s="37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</row>
    <row r="1155" spans="1:26" ht="12.75" customHeight="1" x14ac:dyDescent="0.25">
      <c r="A1155" s="184"/>
      <c r="B1155" s="38"/>
      <c r="C1155" s="38"/>
      <c r="D1155" s="38"/>
      <c r="E1155" s="38"/>
      <c r="F1155" s="185"/>
      <c r="G1155" s="186"/>
      <c r="H1155" s="37"/>
      <c r="I1155" s="37"/>
      <c r="J1155" s="37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</row>
    <row r="1156" spans="1:26" ht="12.75" customHeight="1" x14ac:dyDescent="0.25">
      <c r="A1156" s="184"/>
      <c r="B1156" s="38"/>
      <c r="C1156" s="38"/>
      <c r="D1156" s="38"/>
      <c r="E1156" s="38"/>
      <c r="F1156" s="185"/>
      <c r="G1156" s="186"/>
      <c r="H1156" s="37"/>
      <c r="I1156" s="37"/>
      <c r="J1156" s="37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</row>
    <row r="1157" spans="1:26" ht="12.75" customHeight="1" x14ac:dyDescent="0.25">
      <c r="A1157" s="184"/>
      <c r="B1157" s="38"/>
      <c r="C1157" s="38"/>
      <c r="D1157" s="38"/>
      <c r="E1157" s="38"/>
      <c r="F1157" s="185"/>
      <c r="G1157" s="186"/>
      <c r="H1157" s="37"/>
      <c r="I1157" s="37"/>
      <c r="J1157" s="37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</row>
    <row r="1158" spans="1:26" ht="12.75" customHeight="1" x14ac:dyDescent="0.25">
      <c r="A1158" s="184"/>
      <c r="B1158" s="38"/>
      <c r="C1158" s="38"/>
      <c r="D1158" s="38"/>
      <c r="E1158" s="38"/>
      <c r="F1158" s="185"/>
      <c r="G1158" s="186"/>
      <c r="H1158" s="37"/>
      <c r="I1158" s="37"/>
      <c r="J1158" s="37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</row>
    <row r="1159" spans="1:26" ht="12.75" customHeight="1" x14ac:dyDescent="0.25">
      <c r="A1159" s="184"/>
      <c r="B1159" s="38"/>
      <c r="C1159" s="38"/>
      <c r="D1159" s="38"/>
      <c r="E1159" s="38"/>
      <c r="F1159" s="185"/>
      <c r="G1159" s="186"/>
      <c r="H1159" s="37"/>
      <c r="I1159" s="37"/>
      <c r="J1159" s="37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</row>
    <row r="1160" spans="1:26" ht="12.75" customHeight="1" x14ac:dyDescent="0.25">
      <c r="A1160" s="184"/>
      <c r="B1160" s="38"/>
      <c r="C1160" s="38"/>
      <c r="D1160" s="38"/>
      <c r="E1160" s="38"/>
      <c r="F1160" s="185"/>
      <c r="G1160" s="186"/>
      <c r="H1160" s="37"/>
      <c r="I1160" s="37"/>
      <c r="J1160" s="37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</row>
    <row r="1161" spans="1:26" ht="12.75" customHeight="1" x14ac:dyDescent="0.25">
      <c r="A1161" s="184"/>
      <c r="B1161" s="38"/>
      <c r="C1161" s="38"/>
      <c r="D1161" s="38"/>
      <c r="E1161" s="38"/>
      <c r="F1161" s="185"/>
      <c r="G1161" s="186"/>
      <c r="H1161" s="37"/>
      <c r="I1161" s="37"/>
      <c r="J1161" s="37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</row>
    <row r="1162" spans="1:26" ht="12.75" customHeight="1" x14ac:dyDescent="0.25">
      <c r="A1162" s="184"/>
      <c r="B1162" s="38"/>
      <c r="C1162" s="38"/>
      <c r="D1162" s="38"/>
      <c r="E1162" s="38"/>
      <c r="F1162" s="185"/>
      <c r="G1162" s="186"/>
      <c r="H1162" s="37"/>
      <c r="I1162" s="37"/>
      <c r="J1162" s="37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</row>
    <row r="1163" spans="1:26" ht="12.75" customHeight="1" x14ac:dyDescent="0.25">
      <c r="A1163" s="184"/>
      <c r="B1163" s="38"/>
      <c r="C1163" s="38"/>
      <c r="D1163" s="38"/>
      <c r="E1163" s="38"/>
      <c r="F1163" s="185"/>
      <c r="G1163" s="186"/>
      <c r="H1163" s="37"/>
      <c r="I1163" s="37"/>
      <c r="J1163" s="37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</row>
    <row r="1164" spans="1:26" ht="12.75" customHeight="1" x14ac:dyDescent="0.25">
      <c r="A1164" s="184"/>
      <c r="B1164" s="38"/>
      <c r="C1164" s="38"/>
      <c r="D1164" s="38"/>
      <c r="E1164" s="38"/>
      <c r="F1164" s="185"/>
      <c r="G1164" s="186"/>
      <c r="H1164" s="37"/>
      <c r="I1164" s="37"/>
      <c r="J1164" s="37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</row>
    <row r="1165" spans="1:26" ht="12.75" customHeight="1" x14ac:dyDescent="0.25">
      <c r="A1165" s="184"/>
      <c r="B1165" s="38"/>
      <c r="C1165" s="38"/>
      <c r="D1165" s="38"/>
      <c r="E1165" s="38"/>
      <c r="F1165" s="185"/>
      <c r="G1165" s="186"/>
      <c r="H1165" s="37"/>
      <c r="I1165" s="37"/>
      <c r="J1165" s="37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</row>
    <row r="1166" spans="1:26" ht="12.75" customHeight="1" x14ac:dyDescent="0.25">
      <c r="A1166" s="184"/>
      <c r="B1166" s="38"/>
      <c r="C1166" s="38"/>
      <c r="D1166" s="38"/>
      <c r="E1166" s="38"/>
      <c r="F1166" s="185"/>
      <c r="G1166" s="186"/>
      <c r="H1166" s="37"/>
      <c r="I1166" s="37"/>
      <c r="J1166" s="37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</row>
    <row r="1167" spans="1:26" ht="12.75" customHeight="1" x14ac:dyDescent="0.25">
      <c r="A1167" s="184"/>
      <c r="B1167" s="38"/>
      <c r="C1167" s="38"/>
      <c r="D1167" s="38"/>
      <c r="E1167" s="38"/>
      <c r="F1167" s="185"/>
      <c r="G1167" s="186"/>
      <c r="H1167" s="37"/>
      <c r="I1167" s="37"/>
      <c r="J1167" s="37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</row>
    <row r="1168" spans="1:26" ht="12.75" customHeight="1" x14ac:dyDescent="0.25">
      <c r="A1168" s="184"/>
      <c r="B1168" s="38"/>
      <c r="C1168" s="38"/>
      <c r="D1168" s="38"/>
      <c r="E1168" s="38"/>
      <c r="F1168" s="185"/>
      <c r="G1168" s="186"/>
      <c r="H1168" s="37"/>
      <c r="I1168" s="37"/>
      <c r="J1168" s="37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</row>
    <row r="1169" spans="1:26" ht="12.75" customHeight="1" x14ac:dyDescent="0.25">
      <c r="A1169" s="184"/>
      <c r="B1169" s="38"/>
      <c r="C1169" s="38"/>
      <c r="D1169" s="38"/>
      <c r="E1169" s="38"/>
      <c r="F1169" s="185"/>
      <c r="G1169" s="186"/>
      <c r="H1169" s="37"/>
      <c r="I1169" s="37"/>
      <c r="J1169" s="37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</row>
    <row r="1170" spans="1:26" ht="12.75" customHeight="1" x14ac:dyDescent="0.25">
      <c r="A1170" s="184"/>
      <c r="B1170" s="38"/>
      <c r="C1170" s="38"/>
      <c r="D1170" s="38"/>
      <c r="E1170" s="38"/>
      <c r="F1170" s="185"/>
      <c r="G1170" s="186"/>
      <c r="H1170" s="37"/>
      <c r="I1170" s="37"/>
      <c r="J1170" s="37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</row>
    <row r="1171" spans="1:26" ht="12.75" customHeight="1" x14ac:dyDescent="0.25">
      <c r="A1171" s="184"/>
      <c r="B1171" s="38"/>
      <c r="C1171" s="38"/>
      <c r="D1171" s="38"/>
      <c r="E1171" s="38"/>
      <c r="F1171" s="185"/>
      <c r="G1171" s="186"/>
      <c r="H1171" s="37"/>
      <c r="I1171" s="37"/>
      <c r="J1171" s="37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</row>
    <row r="1172" spans="1:26" ht="12.75" customHeight="1" x14ac:dyDescent="0.25">
      <c r="A1172" s="184"/>
      <c r="B1172" s="38"/>
      <c r="C1172" s="38"/>
      <c r="D1172" s="38"/>
      <c r="E1172" s="38"/>
      <c r="F1172" s="185"/>
      <c r="G1172" s="186"/>
      <c r="H1172" s="37"/>
      <c r="I1172" s="37"/>
      <c r="J1172" s="37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</row>
    <row r="1173" spans="1:26" ht="12.75" customHeight="1" x14ac:dyDescent="0.25">
      <c r="A1173" s="184"/>
      <c r="B1173" s="38"/>
      <c r="C1173" s="38"/>
      <c r="D1173" s="38"/>
      <c r="E1173" s="38"/>
      <c r="F1173" s="185"/>
      <c r="G1173" s="186"/>
      <c r="H1173" s="37"/>
      <c r="I1173" s="37"/>
      <c r="J1173" s="37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</row>
    <row r="1174" spans="1:26" ht="12.75" customHeight="1" x14ac:dyDescent="0.25">
      <c r="A1174" s="184"/>
      <c r="B1174" s="38"/>
      <c r="C1174" s="38"/>
      <c r="D1174" s="38"/>
      <c r="E1174" s="38"/>
      <c r="F1174" s="185"/>
      <c r="G1174" s="186"/>
      <c r="H1174" s="37"/>
      <c r="I1174" s="37"/>
      <c r="J1174" s="37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</row>
    <row r="1175" spans="1:26" ht="12.75" customHeight="1" x14ac:dyDescent="0.25">
      <c r="A1175" s="184"/>
      <c r="B1175" s="38"/>
      <c r="C1175" s="38"/>
      <c r="D1175" s="38"/>
      <c r="E1175" s="38"/>
      <c r="F1175" s="185"/>
      <c r="G1175" s="186"/>
      <c r="H1175" s="37"/>
      <c r="I1175" s="37"/>
      <c r="J1175" s="37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</row>
    <row r="1176" spans="1:26" ht="12.75" customHeight="1" x14ac:dyDescent="0.25">
      <c r="A1176" s="184"/>
      <c r="B1176" s="38"/>
      <c r="C1176" s="38"/>
      <c r="D1176" s="38"/>
      <c r="E1176" s="38"/>
      <c r="F1176" s="185"/>
      <c r="G1176" s="186"/>
      <c r="H1176" s="37"/>
      <c r="I1176" s="37"/>
      <c r="J1176" s="37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</row>
    <row r="1177" spans="1:26" ht="12.75" customHeight="1" x14ac:dyDescent="0.25">
      <c r="A1177" s="184"/>
      <c r="B1177" s="38"/>
      <c r="C1177" s="38"/>
      <c r="D1177" s="38"/>
      <c r="E1177" s="38"/>
      <c r="F1177" s="185"/>
      <c r="G1177" s="186"/>
      <c r="H1177" s="37"/>
      <c r="I1177" s="37"/>
      <c r="J1177" s="37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</row>
    <row r="1178" spans="1:26" ht="12.75" customHeight="1" x14ac:dyDescent="0.25">
      <c r="A1178" s="184"/>
      <c r="B1178" s="38"/>
      <c r="C1178" s="38"/>
      <c r="D1178" s="38"/>
      <c r="E1178" s="38"/>
      <c r="F1178" s="185"/>
      <c r="G1178" s="186"/>
      <c r="H1178" s="37"/>
      <c r="I1178" s="37"/>
      <c r="J1178" s="37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</row>
    <row r="1179" spans="1:26" ht="12.75" customHeight="1" x14ac:dyDescent="0.25">
      <c r="A1179" s="184"/>
      <c r="B1179" s="38"/>
      <c r="C1179" s="38"/>
      <c r="D1179" s="38"/>
      <c r="E1179" s="38"/>
      <c r="F1179" s="185"/>
      <c r="G1179" s="186"/>
      <c r="H1179" s="37"/>
      <c r="I1179" s="37"/>
      <c r="J1179" s="37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</row>
    <row r="1180" spans="1:26" ht="12.75" customHeight="1" x14ac:dyDescent="0.25">
      <c r="A1180" s="184"/>
      <c r="B1180" s="38"/>
      <c r="C1180" s="38"/>
      <c r="D1180" s="38"/>
      <c r="E1180" s="38"/>
      <c r="F1180" s="185"/>
      <c r="G1180" s="186"/>
      <c r="H1180" s="37"/>
      <c r="I1180" s="37"/>
      <c r="J1180" s="37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</row>
    <row r="1181" spans="1:26" ht="12.75" customHeight="1" x14ac:dyDescent="0.25">
      <c r="A1181" s="184"/>
      <c r="B1181" s="38"/>
      <c r="C1181" s="38"/>
      <c r="D1181" s="38"/>
      <c r="E1181" s="38"/>
      <c r="F1181" s="185"/>
      <c r="G1181" s="186"/>
      <c r="H1181" s="37"/>
      <c r="I1181" s="37"/>
      <c r="J1181" s="37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</row>
    <row r="1182" spans="1:26" ht="12.75" customHeight="1" x14ac:dyDescent="0.25">
      <c r="A1182" s="184"/>
      <c r="B1182" s="38"/>
      <c r="C1182" s="38"/>
      <c r="D1182" s="38"/>
      <c r="E1182" s="38"/>
      <c r="F1182" s="185"/>
      <c r="G1182" s="186"/>
      <c r="H1182" s="37"/>
      <c r="I1182" s="37"/>
      <c r="J1182" s="37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</row>
    <row r="1183" spans="1:26" ht="12.75" customHeight="1" x14ac:dyDescent="0.25">
      <c r="A1183" s="184"/>
      <c r="B1183" s="38"/>
      <c r="C1183" s="38"/>
      <c r="D1183" s="38"/>
      <c r="E1183" s="38"/>
      <c r="F1183" s="185"/>
      <c r="G1183" s="186"/>
      <c r="H1183" s="37"/>
      <c r="I1183" s="37"/>
      <c r="J1183" s="37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</row>
    <row r="1184" spans="1:26" ht="12.75" customHeight="1" x14ac:dyDescent="0.25">
      <c r="A1184" s="184"/>
      <c r="B1184" s="38"/>
      <c r="C1184" s="38"/>
      <c r="D1184" s="38"/>
      <c r="E1184" s="38"/>
      <c r="F1184" s="185"/>
      <c r="G1184" s="186"/>
      <c r="H1184" s="37"/>
      <c r="I1184" s="37"/>
      <c r="J1184" s="37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</row>
    <row r="1185" spans="1:26" ht="12.75" customHeight="1" x14ac:dyDescent="0.25">
      <c r="A1185" s="184"/>
      <c r="B1185" s="38"/>
      <c r="C1185" s="38"/>
      <c r="D1185" s="38"/>
      <c r="E1185" s="38"/>
      <c r="F1185" s="185"/>
      <c r="G1185" s="186"/>
      <c r="H1185" s="37"/>
      <c r="I1185" s="37"/>
      <c r="J1185" s="37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</row>
    <row r="1186" spans="1:26" ht="12.75" customHeight="1" x14ac:dyDescent="0.25">
      <c r="A1186" s="184"/>
      <c r="B1186" s="38"/>
      <c r="C1186" s="38"/>
      <c r="D1186" s="38"/>
      <c r="E1186" s="38"/>
      <c r="F1186" s="185"/>
      <c r="G1186" s="186"/>
      <c r="H1186" s="37"/>
      <c r="I1186" s="37"/>
      <c r="J1186" s="37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</row>
    <row r="1187" spans="1:26" ht="12.75" customHeight="1" x14ac:dyDescent="0.25">
      <c r="A1187" s="184"/>
      <c r="B1187" s="38"/>
      <c r="C1187" s="38"/>
      <c r="D1187" s="38"/>
      <c r="E1187" s="38"/>
      <c r="F1187" s="185"/>
      <c r="G1187" s="186"/>
      <c r="H1187" s="37"/>
      <c r="I1187" s="37"/>
      <c r="J1187" s="37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</row>
    <row r="1188" spans="1:26" ht="12.75" customHeight="1" x14ac:dyDescent="0.25">
      <c r="A1188" s="184"/>
      <c r="B1188" s="38"/>
      <c r="C1188" s="38"/>
      <c r="D1188" s="38"/>
      <c r="E1188" s="38"/>
      <c r="F1188" s="185"/>
      <c r="G1188" s="186"/>
      <c r="H1188" s="37"/>
      <c r="I1188" s="37"/>
      <c r="J1188" s="37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</row>
    <row r="1189" spans="1:26" ht="12.75" customHeight="1" x14ac:dyDescent="0.25">
      <c r="A1189" s="184"/>
      <c r="B1189" s="38"/>
      <c r="C1189" s="38"/>
      <c r="D1189" s="38"/>
      <c r="E1189" s="38"/>
      <c r="F1189" s="185"/>
      <c r="G1189" s="186"/>
      <c r="H1189" s="37"/>
      <c r="I1189" s="37"/>
      <c r="J1189" s="37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</row>
    <row r="1190" spans="1:26" ht="12.75" customHeight="1" x14ac:dyDescent="0.25">
      <c r="A1190" s="184"/>
      <c r="B1190" s="38"/>
      <c r="C1190" s="38"/>
      <c r="D1190" s="38"/>
      <c r="E1190" s="38"/>
      <c r="F1190" s="185"/>
      <c r="G1190" s="186"/>
      <c r="H1190" s="37"/>
      <c r="I1190" s="37"/>
      <c r="J1190" s="37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</row>
    <row r="1191" spans="1:26" ht="12.75" customHeight="1" x14ac:dyDescent="0.25">
      <c r="A1191" s="184"/>
      <c r="B1191" s="38"/>
      <c r="C1191" s="38"/>
      <c r="D1191" s="38"/>
      <c r="E1191" s="38"/>
      <c r="F1191" s="185"/>
      <c r="G1191" s="186"/>
      <c r="H1191" s="37"/>
      <c r="I1191" s="37"/>
      <c r="J1191" s="37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</row>
    <row r="1192" spans="1:26" ht="12.75" customHeight="1" x14ac:dyDescent="0.25">
      <c r="A1192" s="184"/>
      <c r="B1192" s="38"/>
      <c r="C1192" s="38"/>
      <c r="D1192" s="38"/>
      <c r="E1192" s="38"/>
      <c r="F1192" s="185"/>
      <c r="G1192" s="186"/>
      <c r="H1192" s="37"/>
      <c r="I1192" s="37"/>
      <c r="J1192" s="37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</row>
    <row r="1193" spans="1:26" ht="12.75" customHeight="1" x14ac:dyDescent="0.25">
      <c r="A1193" s="184"/>
      <c r="B1193" s="38"/>
      <c r="C1193" s="38"/>
      <c r="D1193" s="38"/>
      <c r="E1193" s="38"/>
      <c r="F1193" s="185"/>
      <c r="G1193" s="186"/>
      <c r="H1193" s="37"/>
      <c r="I1193" s="37"/>
      <c r="J1193" s="37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</row>
    <row r="1194" spans="1:26" ht="12.75" customHeight="1" x14ac:dyDescent="0.25">
      <c r="A1194" s="184"/>
      <c r="B1194" s="38"/>
      <c r="C1194" s="38"/>
      <c r="D1194" s="38"/>
      <c r="E1194" s="38"/>
      <c r="F1194" s="185"/>
      <c r="G1194" s="186"/>
      <c r="H1194" s="37"/>
      <c r="I1194" s="37"/>
      <c r="J1194" s="37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</row>
    <row r="1195" spans="1:26" ht="12.75" customHeight="1" x14ac:dyDescent="0.25">
      <c r="A1195" s="184"/>
      <c r="B1195" s="38"/>
      <c r="C1195" s="38"/>
      <c r="D1195" s="38"/>
      <c r="E1195" s="38"/>
      <c r="F1195" s="185"/>
      <c r="G1195" s="186"/>
      <c r="H1195" s="37"/>
      <c r="I1195" s="37"/>
      <c r="J1195" s="37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</row>
    <row r="1196" spans="1:26" ht="12.75" customHeight="1" x14ac:dyDescent="0.25">
      <c r="A1196" s="184"/>
      <c r="B1196" s="38"/>
      <c r="C1196" s="38"/>
      <c r="D1196" s="38"/>
      <c r="E1196" s="38"/>
      <c r="F1196" s="185"/>
      <c r="G1196" s="186"/>
      <c r="H1196" s="37"/>
      <c r="I1196" s="37"/>
      <c r="J1196" s="37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</row>
    <row r="1197" spans="1:26" ht="12.75" customHeight="1" x14ac:dyDescent="0.25">
      <c r="A1197" s="184"/>
      <c r="B1197" s="38"/>
      <c r="C1197" s="38"/>
      <c r="D1197" s="38"/>
      <c r="E1197" s="38"/>
      <c r="F1197" s="185"/>
      <c r="G1197" s="186"/>
      <c r="H1197" s="37"/>
      <c r="I1197" s="37"/>
      <c r="J1197" s="37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</row>
    <row r="1198" spans="1:26" ht="12.75" customHeight="1" x14ac:dyDescent="0.25">
      <c r="A1198" s="184"/>
      <c r="B1198" s="38"/>
      <c r="C1198" s="38"/>
      <c r="D1198" s="38"/>
      <c r="E1198" s="38"/>
      <c r="F1198" s="185"/>
      <c r="G1198" s="186"/>
      <c r="H1198" s="37"/>
      <c r="I1198" s="37"/>
      <c r="J1198" s="37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</row>
    <row r="1199" spans="1:26" ht="12.75" customHeight="1" x14ac:dyDescent="0.25">
      <c r="A1199" s="184"/>
      <c r="B1199" s="38"/>
      <c r="C1199" s="38"/>
      <c r="D1199" s="38"/>
      <c r="E1199" s="38"/>
      <c r="F1199" s="185"/>
      <c r="G1199" s="186"/>
      <c r="H1199" s="37"/>
      <c r="I1199" s="37"/>
      <c r="J1199" s="37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</row>
    <row r="1200" spans="1:26" ht="12.75" customHeight="1" x14ac:dyDescent="0.25">
      <c r="A1200" s="184"/>
      <c r="B1200" s="38"/>
      <c r="C1200" s="38"/>
      <c r="D1200" s="38"/>
      <c r="E1200" s="38"/>
      <c r="F1200" s="185"/>
      <c r="G1200" s="186"/>
      <c r="H1200" s="37"/>
      <c r="I1200" s="37"/>
      <c r="J1200" s="37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</row>
    <row r="1201" spans="1:26" ht="12.75" customHeight="1" x14ac:dyDescent="0.25">
      <c r="A1201" s="184"/>
      <c r="B1201" s="38"/>
      <c r="C1201" s="38"/>
      <c r="D1201" s="38"/>
      <c r="E1201" s="38"/>
      <c r="F1201" s="185"/>
      <c r="G1201" s="186"/>
      <c r="H1201" s="37"/>
      <c r="I1201" s="37"/>
      <c r="J1201" s="37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</row>
    <row r="1202" spans="1:26" ht="12.75" customHeight="1" x14ac:dyDescent="0.25">
      <c r="A1202" s="184"/>
      <c r="B1202" s="38"/>
      <c r="C1202" s="38"/>
      <c r="D1202" s="38"/>
      <c r="E1202" s="38"/>
      <c r="F1202" s="185"/>
      <c r="G1202" s="186"/>
      <c r="H1202" s="37"/>
      <c r="I1202" s="37"/>
      <c r="J1202" s="37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</row>
    <row r="1203" spans="1:26" ht="12.75" customHeight="1" x14ac:dyDescent="0.25">
      <c r="A1203" s="184"/>
      <c r="B1203" s="38"/>
      <c r="C1203" s="38"/>
      <c r="D1203" s="38"/>
      <c r="E1203" s="38"/>
      <c r="F1203" s="185"/>
      <c r="G1203" s="186"/>
      <c r="H1203" s="37"/>
      <c r="I1203" s="37"/>
      <c r="J1203" s="37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</row>
    <row r="1204" spans="1:26" ht="12.75" customHeight="1" x14ac:dyDescent="0.25">
      <c r="A1204" s="184"/>
      <c r="B1204" s="38"/>
      <c r="C1204" s="38"/>
      <c r="D1204" s="38"/>
      <c r="E1204" s="38"/>
      <c r="F1204" s="185"/>
      <c r="G1204" s="186"/>
      <c r="H1204" s="37"/>
      <c r="I1204" s="37"/>
      <c r="J1204" s="37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</row>
    <row r="1205" spans="1:26" ht="12.75" customHeight="1" x14ac:dyDescent="0.25">
      <c r="A1205" s="184"/>
      <c r="B1205" s="38"/>
      <c r="C1205" s="38"/>
      <c r="D1205" s="38"/>
      <c r="E1205" s="38"/>
      <c r="F1205" s="185"/>
      <c r="G1205" s="186"/>
      <c r="H1205" s="37"/>
      <c r="I1205" s="37"/>
      <c r="J1205" s="37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</row>
    <row r="1206" spans="1:26" ht="12.75" customHeight="1" x14ac:dyDescent="0.25">
      <c r="A1206" s="184"/>
      <c r="B1206" s="38"/>
      <c r="C1206" s="38"/>
      <c r="D1206" s="38"/>
      <c r="E1206" s="38"/>
      <c r="F1206" s="185"/>
      <c r="G1206" s="186"/>
      <c r="H1206" s="37"/>
      <c r="I1206" s="37"/>
      <c r="J1206" s="37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</row>
    <row r="1207" spans="1:26" ht="12.75" customHeight="1" x14ac:dyDescent="0.25">
      <c r="A1207" s="184"/>
      <c r="B1207" s="38"/>
      <c r="C1207" s="38"/>
      <c r="D1207" s="38"/>
      <c r="E1207" s="38"/>
      <c r="F1207" s="185"/>
      <c r="G1207" s="186"/>
      <c r="H1207" s="37"/>
      <c r="I1207" s="37"/>
      <c r="J1207" s="37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</row>
    <row r="1208" spans="1:26" ht="12.75" customHeight="1" x14ac:dyDescent="0.25">
      <c r="A1208" s="184"/>
      <c r="B1208" s="38"/>
      <c r="C1208" s="38"/>
      <c r="D1208" s="38"/>
      <c r="E1208" s="38"/>
      <c r="F1208" s="185"/>
      <c r="G1208" s="186"/>
      <c r="H1208" s="37"/>
      <c r="I1208" s="37"/>
      <c r="J1208" s="37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</row>
    <row r="1209" spans="1:26" ht="12.75" customHeight="1" x14ac:dyDescent="0.25">
      <c r="A1209" s="184"/>
      <c r="B1209" s="38"/>
      <c r="C1209" s="38"/>
      <c r="D1209" s="38"/>
      <c r="E1209" s="38"/>
      <c r="F1209" s="185"/>
      <c r="G1209" s="186"/>
      <c r="H1209" s="37"/>
      <c r="I1209" s="37"/>
      <c r="J1209" s="37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</row>
    <row r="1210" spans="1:26" ht="12.75" customHeight="1" x14ac:dyDescent="0.25">
      <c r="A1210" s="184"/>
      <c r="B1210" s="38"/>
      <c r="C1210" s="38"/>
      <c r="D1210" s="38"/>
      <c r="E1210" s="38"/>
      <c r="F1210" s="185"/>
      <c r="G1210" s="186"/>
      <c r="H1210" s="37"/>
      <c r="I1210" s="37"/>
      <c r="J1210" s="37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</row>
    <row r="1211" spans="1:26" ht="12.75" customHeight="1" x14ac:dyDescent="0.25">
      <c r="A1211" s="184"/>
      <c r="B1211" s="38"/>
      <c r="C1211" s="38"/>
      <c r="D1211" s="38"/>
      <c r="E1211" s="38"/>
      <c r="F1211" s="185"/>
      <c r="G1211" s="186"/>
      <c r="H1211" s="37"/>
      <c r="I1211" s="37"/>
      <c r="J1211" s="37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</row>
    <row r="1212" spans="1:26" ht="12.75" customHeight="1" x14ac:dyDescent="0.25">
      <c r="A1212" s="184"/>
      <c r="B1212" s="38"/>
      <c r="C1212" s="38"/>
      <c r="D1212" s="38"/>
      <c r="E1212" s="38"/>
      <c r="F1212" s="185"/>
      <c r="G1212" s="186"/>
      <c r="H1212" s="37"/>
      <c r="I1212" s="37"/>
      <c r="J1212" s="37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</row>
    <row r="1213" spans="1:26" ht="12.75" customHeight="1" x14ac:dyDescent="0.25">
      <c r="A1213" s="184"/>
      <c r="B1213" s="38"/>
      <c r="C1213" s="38"/>
      <c r="D1213" s="38"/>
      <c r="E1213" s="38"/>
      <c r="F1213" s="185"/>
      <c r="G1213" s="186"/>
      <c r="H1213" s="37"/>
      <c r="I1213" s="37"/>
      <c r="J1213" s="37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</row>
    <row r="1214" spans="1:26" ht="12.75" customHeight="1" x14ac:dyDescent="0.25">
      <c r="A1214" s="184"/>
      <c r="B1214" s="38"/>
      <c r="C1214" s="38"/>
      <c r="D1214" s="38"/>
      <c r="E1214" s="38"/>
      <c r="F1214" s="185"/>
      <c r="G1214" s="186"/>
      <c r="H1214" s="37"/>
      <c r="I1214" s="37"/>
      <c r="J1214" s="37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</row>
    <row r="1215" spans="1:26" ht="12.75" customHeight="1" x14ac:dyDescent="0.25">
      <c r="A1215" s="184"/>
      <c r="B1215" s="38"/>
      <c r="C1215" s="38"/>
      <c r="D1215" s="38"/>
      <c r="E1215" s="38"/>
      <c r="F1215" s="185"/>
      <c r="G1215" s="186"/>
      <c r="H1215" s="37"/>
      <c r="I1215" s="37"/>
      <c r="J1215" s="37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</row>
    <row r="1216" spans="1:26" ht="12.75" customHeight="1" x14ac:dyDescent="0.25">
      <c r="A1216" s="184"/>
      <c r="B1216" s="38"/>
      <c r="C1216" s="38"/>
      <c r="D1216" s="38"/>
      <c r="E1216" s="38"/>
      <c r="F1216" s="185"/>
      <c r="G1216" s="186"/>
      <c r="H1216" s="37"/>
      <c r="I1216" s="37"/>
      <c r="J1216" s="37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</row>
    <row r="1217" spans="1:26" ht="12.75" customHeight="1" x14ac:dyDescent="0.25">
      <c r="A1217" s="184"/>
      <c r="B1217" s="38"/>
      <c r="C1217" s="38"/>
      <c r="D1217" s="38"/>
      <c r="E1217" s="38"/>
      <c r="F1217" s="185"/>
      <c r="G1217" s="186"/>
      <c r="H1217" s="37"/>
      <c r="I1217" s="37"/>
      <c r="J1217" s="37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</row>
    <row r="1218" spans="1:26" ht="12.75" customHeight="1" x14ac:dyDescent="0.25">
      <c r="A1218" s="184"/>
      <c r="B1218" s="38"/>
      <c r="C1218" s="38"/>
      <c r="D1218" s="38"/>
      <c r="E1218" s="38"/>
      <c r="F1218" s="185"/>
      <c r="G1218" s="186"/>
      <c r="H1218" s="37"/>
      <c r="I1218" s="37"/>
      <c r="J1218" s="37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</row>
    <row r="1219" spans="1:26" ht="12.75" customHeight="1" x14ac:dyDescent="0.25">
      <c r="A1219" s="184"/>
      <c r="B1219" s="38"/>
      <c r="C1219" s="38"/>
      <c r="D1219" s="38"/>
      <c r="E1219" s="38"/>
      <c r="F1219" s="185"/>
      <c r="G1219" s="186"/>
      <c r="H1219" s="37"/>
      <c r="I1219" s="37"/>
      <c r="J1219" s="37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</row>
    <row r="1220" spans="1:26" ht="12.75" customHeight="1" x14ac:dyDescent="0.25">
      <c r="A1220" s="184"/>
      <c r="B1220" s="38"/>
      <c r="C1220" s="38"/>
      <c r="D1220" s="38"/>
      <c r="E1220" s="38"/>
      <c r="F1220" s="185"/>
      <c r="G1220" s="186"/>
      <c r="H1220" s="37"/>
      <c r="I1220" s="37"/>
      <c r="J1220" s="37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</row>
    <row r="1221" spans="1:26" ht="12.75" customHeight="1" x14ac:dyDescent="0.25">
      <c r="A1221" s="184"/>
      <c r="B1221" s="38"/>
      <c r="C1221" s="38"/>
      <c r="D1221" s="38"/>
      <c r="E1221" s="38"/>
      <c r="F1221" s="185"/>
      <c r="G1221" s="186"/>
      <c r="H1221" s="37"/>
      <c r="I1221" s="37"/>
      <c r="J1221" s="37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</row>
    <row r="1222" spans="1:26" ht="12.75" customHeight="1" x14ac:dyDescent="0.25">
      <c r="A1222" s="184"/>
      <c r="B1222" s="38"/>
      <c r="C1222" s="38"/>
      <c r="D1222" s="38"/>
      <c r="E1222" s="38"/>
      <c r="F1222" s="185"/>
      <c r="G1222" s="186"/>
      <c r="H1222" s="37"/>
      <c r="I1222" s="37"/>
      <c r="J1222" s="37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</row>
    <row r="1223" spans="1:26" ht="12.75" customHeight="1" x14ac:dyDescent="0.25">
      <c r="A1223" s="184"/>
      <c r="B1223" s="38"/>
      <c r="C1223" s="38"/>
      <c r="D1223" s="38"/>
      <c r="E1223" s="38"/>
      <c r="F1223" s="185"/>
      <c r="G1223" s="186"/>
      <c r="H1223" s="37"/>
      <c r="I1223" s="37"/>
      <c r="J1223" s="37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</row>
    <row r="1224" spans="1:26" ht="12.75" customHeight="1" x14ac:dyDescent="0.25">
      <c r="A1224" s="184"/>
      <c r="B1224" s="38"/>
      <c r="C1224" s="38"/>
      <c r="D1224" s="38"/>
      <c r="E1224" s="38"/>
      <c r="F1224" s="185"/>
      <c r="G1224" s="186"/>
      <c r="H1224" s="37"/>
      <c r="I1224" s="37"/>
      <c r="J1224" s="37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</row>
    <row r="1225" spans="1:26" ht="12.75" customHeight="1" x14ac:dyDescent="0.25">
      <c r="A1225" s="184"/>
      <c r="B1225" s="38"/>
      <c r="C1225" s="38"/>
      <c r="D1225" s="38"/>
      <c r="E1225" s="38"/>
      <c r="F1225" s="185"/>
      <c r="G1225" s="186"/>
      <c r="H1225" s="37"/>
      <c r="I1225" s="37"/>
      <c r="J1225" s="37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</row>
    <row r="1226" spans="1:26" ht="12.75" customHeight="1" x14ac:dyDescent="0.25">
      <c r="A1226" s="184"/>
      <c r="B1226" s="38"/>
      <c r="C1226" s="38"/>
      <c r="D1226" s="38"/>
      <c r="E1226" s="38"/>
      <c r="F1226" s="185"/>
      <c r="G1226" s="186"/>
      <c r="H1226" s="37"/>
      <c r="I1226" s="37"/>
      <c r="J1226" s="37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</row>
    <row r="1227" spans="1:26" ht="12.75" customHeight="1" x14ac:dyDescent="0.25">
      <c r="A1227" s="184"/>
      <c r="B1227" s="38"/>
      <c r="C1227" s="38"/>
      <c r="D1227" s="38"/>
      <c r="E1227" s="38"/>
      <c r="F1227" s="185"/>
      <c r="G1227" s="186"/>
      <c r="H1227" s="37"/>
      <c r="I1227" s="37"/>
      <c r="J1227" s="37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</row>
    <row r="1228" spans="1:26" ht="12.75" customHeight="1" x14ac:dyDescent="0.25">
      <c r="A1228" s="184"/>
      <c r="B1228" s="38"/>
      <c r="C1228" s="38"/>
      <c r="D1228" s="38"/>
      <c r="E1228" s="38"/>
      <c r="F1228" s="185"/>
      <c r="G1228" s="186"/>
      <c r="H1228" s="37"/>
      <c r="I1228" s="37"/>
      <c r="J1228" s="37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</row>
    <row r="1229" spans="1:26" ht="12.75" customHeight="1" x14ac:dyDescent="0.25">
      <c r="A1229" s="184"/>
      <c r="B1229" s="38"/>
      <c r="C1229" s="38"/>
      <c r="D1229" s="38"/>
      <c r="E1229" s="38"/>
      <c r="F1229" s="185"/>
      <c r="G1229" s="186"/>
      <c r="H1229" s="37"/>
      <c r="I1229" s="37"/>
      <c r="J1229" s="37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</row>
    <row r="1230" spans="1:26" ht="12.75" customHeight="1" x14ac:dyDescent="0.25">
      <c r="A1230" s="184"/>
      <c r="B1230" s="38"/>
      <c r="C1230" s="38"/>
      <c r="D1230" s="38"/>
      <c r="E1230" s="38"/>
      <c r="F1230" s="185"/>
      <c r="G1230" s="186"/>
      <c r="H1230" s="37"/>
      <c r="I1230" s="37"/>
      <c r="J1230" s="37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</row>
    <row r="1231" spans="1:26" ht="12.75" customHeight="1" x14ac:dyDescent="0.25">
      <c r="A1231" s="184"/>
      <c r="B1231" s="38"/>
      <c r="C1231" s="38"/>
      <c r="D1231" s="38"/>
      <c r="E1231" s="38"/>
      <c r="F1231" s="185"/>
      <c r="G1231" s="186"/>
      <c r="H1231" s="37"/>
      <c r="I1231" s="37"/>
      <c r="J1231" s="37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</row>
    <row r="1232" spans="1:26" ht="12.75" customHeight="1" x14ac:dyDescent="0.25">
      <c r="A1232" s="184"/>
      <c r="B1232" s="38"/>
      <c r="C1232" s="38"/>
      <c r="D1232" s="38"/>
      <c r="E1232" s="38"/>
      <c r="F1232" s="185"/>
      <c r="G1232" s="186"/>
      <c r="H1232" s="37"/>
      <c r="I1232" s="37"/>
      <c r="J1232" s="37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</row>
    <row r="1233" spans="1:26" ht="12.75" customHeight="1" x14ac:dyDescent="0.25">
      <c r="A1233" s="184"/>
      <c r="B1233" s="38"/>
      <c r="C1233" s="38"/>
      <c r="D1233" s="38"/>
      <c r="E1233" s="38"/>
      <c r="F1233" s="185"/>
      <c r="G1233" s="186"/>
      <c r="H1233" s="37"/>
      <c r="I1233" s="37"/>
      <c r="J1233" s="37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</row>
    <row r="1234" spans="1:26" ht="12.75" customHeight="1" x14ac:dyDescent="0.25">
      <c r="A1234" s="184"/>
      <c r="B1234" s="38"/>
      <c r="C1234" s="38"/>
      <c r="D1234" s="38"/>
      <c r="E1234" s="38"/>
      <c r="F1234" s="185"/>
      <c r="G1234" s="186"/>
      <c r="H1234" s="37"/>
      <c r="I1234" s="37"/>
      <c r="J1234" s="37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</row>
    <row r="1235" spans="1:26" ht="12.75" customHeight="1" x14ac:dyDescent="0.25">
      <c r="A1235" s="184"/>
      <c r="B1235" s="38"/>
      <c r="C1235" s="38"/>
      <c r="D1235" s="38"/>
      <c r="E1235" s="38"/>
      <c r="F1235" s="185"/>
      <c r="G1235" s="186"/>
      <c r="H1235" s="37"/>
      <c r="I1235" s="37"/>
      <c r="J1235" s="37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</row>
    <row r="1236" spans="1:26" ht="12.75" customHeight="1" x14ac:dyDescent="0.25">
      <c r="A1236" s="184"/>
      <c r="B1236" s="38"/>
      <c r="C1236" s="38"/>
      <c r="D1236" s="38"/>
      <c r="E1236" s="38"/>
      <c r="F1236" s="185"/>
      <c r="G1236" s="186"/>
      <c r="H1236" s="37"/>
      <c r="I1236" s="37"/>
      <c r="J1236" s="37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</row>
    <row r="1237" spans="1:26" ht="12.75" customHeight="1" x14ac:dyDescent="0.25">
      <c r="A1237" s="184"/>
      <c r="B1237" s="38"/>
      <c r="C1237" s="38"/>
      <c r="D1237" s="38"/>
      <c r="E1237" s="38"/>
      <c r="F1237" s="185"/>
      <c r="G1237" s="186"/>
      <c r="H1237" s="37"/>
      <c r="I1237" s="37"/>
      <c r="J1237" s="37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</row>
    <row r="1238" spans="1:26" ht="12.75" customHeight="1" x14ac:dyDescent="0.25">
      <c r="A1238" s="184"/>
      <c r="B1238" s="38"/>
      <c r="C1238" s="38"/>
      <c r="D1238" s="38"/>
      <c r="E1238" s="38"/>
      <c r="F1238" s="185"/>
      <c r="G1238" s="186"/>
      <c r="H1238" s="37"/>
      <c r="I1238" s="37"/>
      <c r="J1238" s="37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</row>
    <row r="1239" spans="1:26" ht="12.75" customHeight="1" x14ac:dyDescent="0.25">
      <c r="A1239" s="184"/>
      <c r="B1239" s="38"/>
      <c r="C1239" s="38"/>
      <c r="D1239" s="38"/>
      <c r="E1239" s="38"/>
      <c r="F1239" s="185"/>
      <c r="G1239" s="186"/>
      <c r="H1239" s="37"/>
      <c r="I1239" s="37"/>
      <c r="J1239" s="37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</row>
    <row r="1240" spans="1:26" ht="12.75" customHeight="1" x14ac:dyDescent="0.25">
      <c r="A1240" s="184"/>
      <c r="B1240" s="38"/>
      <c r="C1240" s="38"/>
      <c r="D1240" s="38"/>
      <c r="E1240" s="38"/>
      <c r="F1240" s="185"/>
      <c r="G1240" s="186"/>
      <c r="H1240" s="37"/>
      <c r="I1240" s="37"/>
      <c r="J1240" s="37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</row>
    <row r="1241" spans="1:26" ht="12.75" customHeight="1" x14ac:dyDescent="0.25">
      <c r="A1241" s="184"/>
      <c r="B1241" s="38"/>
      <c r="C1241" s="38"/>
      <c r="D1241" s="38"/>
      <c r="E1241" s="38"/>
      <c r="F1241" s="185"/>
      <c r="G1241" s="186"/>
      <c r="H1241" s="37"/>
      <c r="I1241" s="37"/>
      <c r="J1241" s="37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</row>
    <row r="1242" spans="1:26" ht="12.75" customHeight="1" x14ac:dyDescent="0.25">
      <c r="A1242" s="184"/>
      <c r="B1242" s="38"/>
      <c r="C1242" s="38"/>
      <c r="D1242" s="38"/>
      <c r="E1242" s="38"/>
      <c r="F1242" s="185"/>
      <c r="G1242" s="186"/>
      <c r="H1242" s="37"/>
      <c r="I1242" s="37"/>
      <c r="J1242" s="37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</row>
    <row r="1243" spans="1:26" ht="12.75" customHeight="1" x14ac:dyDescent="0.25">
      <c r="A1243" s="184"/>
      <c r="B1243" s="38"/>
      <c r="C1243" s="38"/>
      <c r="D1243" s="38"/>
      <c r="E1243" s="38"/>
      <c r="F1243" s="185"/>
      <c r="G1243" s="186"/>
      <c r="H1243" s="37"/>
      <c r="I1243" s="37"/>
      <c r="J1243" s="37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</row>
    <row r="1244" spans="1:26" ht="12.75" customHeight="1" x14ac:dyDescent="0.25">
      <c r="A1244" s="184"/>
      <c r="B1244" s="38"/>
      <c r="C1244" s="38"/>
      <c r="D1244" s="38"/>
      <c r="E1244" s="38"/>
      <c r="F1244" s="185"/>
      <c r="G1244" s="186"/>
      <c r="H1244" s="37"/>
      <c r="I1244" s="37"/>
      <c r="J1244" s="37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</row>
    <row r="1245" spans="1:26" ht="12.75" customHeight="1" x14ac:dyDescent="0.25">
      <c r="A1245" s="184"/>
      <c r="B1245" s="38"/>
      <c r="C1245" s="38"/>
      <c r="D1245" s="38"/>
      <c r="E1245" s="38"/>
      <c r="F1245" s="185"/>
      <c r="G1245" s="186"/>
      <c r="H1245" s="37"/>
      <c r="I1245" s="37"/>
      <c r="J1245" s="37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</row>
    <row r="1246" spans="1:26" ht="12.75" customHeight="1" x14ac:dyDescent="0.25">
      <c r="A1246" s="184"/>
      <c r="B1246" s="38"/>
      <c r="C1246" s="38"/>
      <c r="D1246" s="38"/>
      <c r="E1246" s="38"/>
      <c r="F1246" s="185"/>
      <c r="G1246" s="186"/>
      <c r="H1246" s="37"/>
      <c r="I1246" s="37"/>
      <c r="J1246" s="37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</row>
    <row r="1247" spans="1:26" ht="12.75" customHeight="1" x14ac:dyDescent="0.25">
      <c r="A1247" s="184"/>
      <c r="B1247" s="38"/>
      <c r="C1247" s="38"/>
      <c r="D1247" s="38"/>
      <c r="E1247" s="38"/>
      <c r="F1247" s="185"/>
      <c r="G1247" s="186"/>
      <c r="H1247" s="37"/>
      <c r="I1247" s="37"/>
      <c r="J1247" s="37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</row>
    <row r="1248" spans="1:26" ht="12.75" customHeight="1" x14ac:dyDescent="0.25">
      <c r="A1248" s="184"/>
      <c r="B1248" s="38"/>
      <c r="C1248" s="38"/>
      <c r="D1248" s="38"/>
      <c r="E1248" s="38"/>
      <c r="F1248" s="185"/>
      <c r="G1248" s="186"/>
      <c r="H1248" s="37"/>
      <c r="I1248" s="37"/>
      <c r="J1248" s="37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</row>
    <row r="1249" spans="1:26" ht="12.75" customHeight="1" x14ac:dyDescent="0.25">
      <c r="A1249" s="184"/>
      <c r="B1249" s="38"/>
      <c r="C1249" s="38"/>
      <c r="D1249" s="38"/>
      <c r="E1249" s="38"/>
      <c r="F1249" s="185"/>
      <c r="G1249" s="186"/>
      <c r="H1249" s="37"/>
      <c r="I1249" s="37"/>
      <c r="J1249" s="37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</row>
    <row r="1250" spans="1:26" ht="12.75" customHeight="1" x14ac:dyDescent="0.25">
      <c r="A1250" s="184"/>
      <c r="B1250" s="38"/>
      <c r="C1250" s="38"/>
      <c r="D1250" s="38"/>
      <c r="E1250" s="38"/>
      <c r="F1250" s="185"/>
      <c r="G1250" s="186"/>
      <c r="H1250" s="37"/>
      <c r="I1250" s="37"/>
      <c r="J1250" s="37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</row>
    <row r="1251" spans="1:26" ht="12.75" customHeight="1" x14ac:dyDescent="0.25">
      <c r="A1251" s="184"/>
      <c r="B1251" s="38"/>
      <c r="C1251" s="38"/>
      <c r="D1251" s="38"/>
      <c r="E1251" s="38"/>
      <c r="F1251" s="185"/>
      <c r="G1251" s="186"/>
      <c r="H1251" s="37"/>
      <c r="I1251" s="37"/>
      <c r="J1251" s="37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</row>
    <row r="1252" spans="1:26" ht="12.75" customHeight="1" x14ac:dyDescent="0.25">
      <c r="A1252" s="184"/>
      <c r="B1252" s="38"/>
      <c r="C1252" s="38"/>
      <c r="D1252" s="38"/>
      <c r="E1252" s="38"/>
      <c r="F1252" s="185"/>
      <c r="G1252" s="186"/>
      <c r="H1252" s="37"/>
      <c r="I1252" s="37"/>
      <c r="J1252" s="37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</row>
    <row r="1253" spans="1:26" ht="12.75" customHeight="1" x14ac:dyDescent="0.25">
      <c r="A1253" s="184"/>
      <c r="B1253" s="38"/>
      <c r="C1253" s="38"/>
      <c r="D1253" s="38"/>
      <c r="E1253" s="38"/>
      <c r="F1253" s="185"/>
      <c r="G1253" s="186"/>
      <c r="H1253" s="37"/>
      <c r="I1253" s="37"/>
      <c r="J1253" s="37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</row>
    <row r="1254" spans="1:26" ht="12.75" customHeight="1" x14ac:dyDescent="0.25">
      <c r="A1254" s="184"/>
      <c r="B1254" s="38"/>
      <c r="C1254" s="38"/>
      <c r="D1254" s="38"/>
      <c r="E1254" s="38"/>
      <c r="F1254" s="185"/>
      <c r="G1254" s="186"/>
      <c r="H1254" s="37"/>
      <c r="I1254" s="37"/>
      <c r="J1254" s="37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</row>
    <row r="1255" spans="1:26" ht="12.75" customHeight="1" x14ac:dyDescent="0.25">
      <c r="A1255" s="184"/>
      <c r="B1255" s="38"/>
      <c r="C1255" s="38"/>
      <c r="D1255" s="38"/>
      <c r="E1255" s="38"/>
      <c r="F1255" s="185"/>
      <c r="G1255" s="186"/>
      <c r="H1255" s="37"/>
      <c r="I1255" s="37"/>
      <c r="J1255" s="37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</row>
    <row r="1256" spans="1:26" ht="12.75" customHeight="1" x14ac:dyDescent="0.25">
      <c r="A1256" s="184"/>
      <c r="B1256" s="38"/>
      <c r="C1256" s="38"/>
      <c r="D1256" s="38"/>
      <c r="E1256" s="38"/>
      <c r="F1256" s="185"/>
      <c r="G1256" s="186"/>
      <c r="H1256" s="37"/>
      <c r="I1256" s="37"/>
      <c r="J1256" s="37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</row>
    <row r="1257" spans="1:26" ht="12.75" customHeight="1" x14ac:dyDescent="0.25">
      <c r="A1257" s="184"/>
      <c r="B1257" s="38"/>
      <c r="C1257" s="38"/>
      <c r="D1257" s="38"/>
      <c r="E1257" s="38"/>
      <c r="F1257" s="185"/>
      <c r="G1257" s="186"/>
      <c r="H1257" s="37"/>
      <c r="I1257" s="37"/>
      <c r="J1257" s="37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</row>
    <row r="1258" spans="1:26" ht="12.75" customHeight="1" x14ac:dyDescent="0.25">
      <c r="A1258" s="184"/>
      <c r="B1258" s="38"/>
      <c r="C1258" s="38"/>
      <c r="D1258" s="38"/>
      <c r="E1258" s="38"/>
      <c r="F1258" s="185"/>
      <c r="G1258" s="186"/>
      <c r="H1258" s="37"/>
      <c r="I1258" s="37"/>
      <c r="J1258" s="37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</row>
    <row r="1259" spans="1:26" ht="12.75" customHeight="1" x14ac:dyDescent="0.25">
      <c r="A1259" s="184"/>
      <c r="B1259" s="38"/>
      <c r="C1259" s="38"/>
      <c r="D1259" s="38"/>
      <c r="E1259" s="38"/>
      <c r="F1259" s="185"/>
      <c r="G1259" s="186"/>
      <c r="H1259" s="37"/>
      <c r="I1259" s="37"/>
      <c r="J1259" s="37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</row>
    <row r="1260" spans="1:26" ht="12.75" customHeight="1" x14ac:dyDescent="0.25">
      <c r="A1260" s="184"/>
      <c r="B1260" s="38"/>
      <c r="C1260" s="38"/>
      <c r="D1260" s="38"/>
      <c r="E1260" s="38"/>
      <c r="F1260" s="185"/>
      <c r="G1260" s="186"/>
      <c r="H1260" s="37"/>
      <c r="I1260" s="37"/>
      <c r="J1260" s="37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</row>
    <row r="1261" spans="1:26" ht="12.75" customHeight="1" x14ac:dyDescent="0.25">
      <c r="A1261" s="184"/>
      <c r="B1261" s="38"/>
      <c r="C1261" s="38"/>
      <c r="D1261" s="38"/>
      <c r="E1261" s="38"/>
      <c r="F1261" s="185"/>
      <c r="G1261" s="186"/>
      <c r="H1261" s="37"/>
      <c r="I1261" s="37"/>
      <c r="J1261" s="37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</row>
    <row r="1262" spans="1:26" ht="12.75" customHeight="1" x14ac:dyDescent="0.25">
      <c r="A1262" s="184"/>
      <c r="B1262" s="38"/>
      <c r="C1262" s="38"/>
      <c r="D1262" s="38"/>
      <c r="E1262" s="38"/>
      <c r="F1262" s="185"/>
      <c r="G1262" s="186"/>
      <c r="H1262" s="37"/>
      <c r="I1262" s="37"/>
      <c r="J1262" s="37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</row>
    <row r="1263" spans="1:26" ht="12.75" customHeight="1" x14ac:dyDescent="0.25">
      <c r="A1263" s="184"/>
      <c r="B1263" s="38"/>
      <c r="C1263" s="38"/>
      <c r="D1263" s="38"/>
      <c r="E1263" s="38"/>
      <c r="F1263" s="185"/>
      <c r="G1263" s="186"/>
      <c r="H1263" s="37"/>
      <c r="I1263" s="37"/>
      <c r="J1263" s="37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</row>
    <row r="1264" spans="1:26" ht="12.75" customHeight="1" x14ac:dyDescent="0.25">
      <c r="A1264" s="184"/>
      <c r="B1264" s="38"/>
      <c r="C1264" s="38"/>
      <c r="D1264" s="38"/>
      <c r="E1264" s="38"/>
      <c r="F1264" s="185"/>
      <c r="G1264" s="186"/>
      <c r="H1264" s="37"/>
      <c r="I1264" s="37"/>
      <c r="J1264" s="37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</row>
    <row r="1265" spans="1:26" ht="12.75" customHeight="1" x14ac:dyDescent="0.25">
      <c r="A1265" s="184"/>
      <c r="B1265" s="38"/>
      <c r="C1265" s="38"/>
      <c r="D1265" s="38"/>
      <c r="E1265" s="38"/>
      <c r="F1265" s="185"/>
      <c r="G1265" s="186"/>
      <c r="H1265" s="37"/>
      <c r="I1265" s="37"/>
      <c r="J1265" s="37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</row>
    <row r="1266" spans="1:26" ht="12.75" customHeight="1" x14ac:dyDescent="0.25">
      <c r="A1266" s="184"/>
      <c r="B1266" s="38"/>
      <c r="C1266" s="38"/>
      <c r="D1266" s="38"/>
      <c r="E1266" s="38"/>
      <c r="F1266" s="185"/>
      <c r="G1266" s="186"/>
      <c r="H1266" s="37"/>
      <c r="I1266" s="37"/>
      <c r="J1266" s="37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</row>
    <row r="1267" spans="1:26" ht="12.75" customHeight="1" x14ac:dyDescent="0.25">
      <c r="A1267" s="184"/>
      <c r="B1267" s="38"/>
      <c r="C1267" s="38"/>
      <c r="D1267" s="38"/>
      <c r="E1267" s="38"/>
      <c r="F1267" s="185"/>
      <c r="G1267" s="186"/>
      <c r="H1267" s="37"/>
      <c r="I1267" s="37"/>
      <c r="J1267" s="37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</row>
    <row r="1268" spans="1:26" ht="12.75" customHeight="1" x14ac:dyDescent="0.25">
      <c r="A1268" s="184"/>
      <c r="B1268" s="38"/>
      <c r="C1268" s="38"/>
      <c r="D1268" s="38"/>
      <c r="E1268" s="38"/>
      <c r="F1268" s="185"/>
      <c r="G1268" s="186"/>
      <c r="H1268" s="37"/>
      <c r="I1268" s="37"/>
      <c r="J1268" s="37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</row>
    <row r="1269" spans="1:26" ht="12.75" customHeight="1" x14ac:dyDescent="0.25">
      <c r="A1269" s="184"/>
      <c r="B1269" s="38"/>
      <c r="C1269" s="38"/>
      <c r="D1269" s="38"/>
      <c r="E1269" s="38"/>
      <c r="F1269" s="185"/>
      <c r="G1269" s="186"/>
      <c r="H1269" s="37"/>
      <c r="I1269" s="37"/>
      <c r="J1269" s="37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</row>
    <row r="1270" spans="1:26" ht="12.75" customHeight="1" x14ac:dyDescent="0.25">
      <c r="A1270" s="184"/>
      <c r="B1270" s="38"/>
      <c r="C1270" s="38"/>
      <c r="D1270" s="38"/>
      <c r="E1270" s="38"/>
      <c r="F1270" s="185"/>
      <c r="G1270" s="186"/>
      <c r="H1270" s="37"/>
      <c r="I1270" s="37"/>
      <c r="J1270" s="37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</row>
    <row r="1271" spans="1:26" ht="12.75" customHeight="1" x14ac:dyDescent="0.25">
      <c r="A1271" s="184"/>
      <c r="B1271" s="38"/>
      <c r="C1271" s="38"/>
      <c r="D1271" s="38"/>
      <c r="E1271" s="38"/>
      <c r="F1271" s="185"/>
      <c r="G1271" s="186"/>
      <c r="H1271" s="37"/>
      <c r="I1271" s="37"/>
      <c r="J1271" s="37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</row>
    <row r="1272" spans="1:26" ht="12.75" customHeight="1" x14ac:dyDescent="0.25">
      <c r="A1272" s="184"/>
      <c r="B1272" s="38"/>
      <c r="C1272" s="38"/>
      <c r="D1272" s="38"/>
      <c r="E1272" s="38"/>
      <c r="F1272" s="185"/>
      <c r="G1272" s="186"/>
      <c r="H1272" s="37"/>
      <c r="I1272" s="37"/>
      <c r="J1272" s="37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</row>
    <row r="1273" spans="1:26" ht="12.75" customHeight="1" x14ac:dyDescent="0.25">
      <c r="A1273" s="184"/>
      <c r="B1273" s="38"/>
      <c r="C1273" s="38"/>
      <c r="D1273" s="38"/>
      <c r="E1273" s="38"/>
      <c r="F1273" s="185"/>
      <c r="G1273" s="186"/>
      <c r="H1273" s="37"/>
      <c r="I1273" s="37"/>
      <c r="J1273" s="37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</row>
    <row r="1274" spans="1:26" ht="12.75" customHeight="1" x14ac:dyDescent="0.25">
      <c r="A1274" s="184"/>
      <c r="B1274" s="38"/>
      <c r="C1274" s="38"/>
      <c r="D1274" s="38"/>
      <c r="E1274" s="38"/>
      <c r="F1274" s="185"/>
      <c r="G1274" s="186"/>
      <c r="H1274" s="37"/>
      <c r="I1274" s="37"/>
      <c r="J1274" s="37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</row>
    <row r="1275" spans="1:26" ht="12.75" customHeight="1" x14ac:dyDescent="0.25">
      <c r="A1275" s="184"/>
      <c r="B1275" s="38"/>
      <c r="C1275" s="38"/>
      <c r="D1275" s="38"/>
      <c r="E1275" s="38"/>
      <c r="F1275" s="185"/>
      <c r="G1275" s="186"/>
      <c r="H1275" s="37"/>
      <c r="I1275" s="37"/>
      <c r="J1275" s="37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</row>
    <row r="1276" spans="1:26" ht="12.75" customHeight="1" x14ac:dyDescent="0.25">
      <c r="A1276" s="184"/>
      <c r="B1276" s="38"/>
      <c r="C1276" s="38"/>
      <c r="D1276" s="38"/>
      <c r="E1276" s="38"/>
      <c r="F1276" s="185"/>
      <c r="G1276" s="186"/>
      <c r="H1276" s="37"/>
      <c r="I1276" s="37"/>
      <c r="J1276" s="37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</row>
    <row r="1277" spans="1:26" ht="12.75" customHeight="1" x14ac:dyDescent="0.25">
      <c r="A1277" s="184"/>
      <c r="B1277" s="38"/>
      <c r="C1277" s="38"/>
      <c r="D1277" s="38"/>
      <c r="E1277" s="38"/>
      <c r="F1277" s="185"/>
      <c r="G1277" s="186"/>
      <c r="H1277" s="37"/>
      <c r="I1277" s="37"/>
      <c r="J1277" s="37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</row>
    <row r="1278" spans="1:26" ht="12.75" customHeight="1" x14ac:dyDescent="0.25">
      <c r="A1278" s="184"/>
      <c r="B1278" s="38"/>
      <c r="C1278" s="38"/>
      <c r="D1278" s="38"/>
      <c r="E1278" s="38"/>
      <c r="F1278" s="185"/>
      <c r="G1278" s="186"/>
      <c r="H1278" s="37"/>
      <c r="I1278" s="37"/>
      <c r="J1278" s="37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</row>
    <row r="1279" spans="1:26" ht="12.75" customHeight="1" x14ac:dyDescent="0.25">
      <c r="A1279" s="184"/>
      <c r="B1279" s="38"/>
      <c r="C1279" s="38"/>
      <c r="D1279" s="38"/>
      <c r="E1279" s="38"/>
      <c r="F1279" s="185"/>
      <c r="G1279" s="186"/>
      <c r="H1279" s="37"/>
      <c r="I1279" s="37"/>
      <c r="J1279" s="37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</row>
    <row r="1280" spans="1:26" ht="12.75" customHeight="1" x14ac:dyDescent="0.25">
      <c r="A1280" s="184"/>
      <c r="B1280" s="38"/>
      <c r="C1280" s="38"/>
      <c r="D1280" s="38"/>
      <c r="E1280" s="38"/>
      <c r="F1280" s="185"/>
      <c r="G1280" s="186"/>
      <c r="H1280" s="37"/>
      <c r="I1280" s="37"/>
      <c r="J1280" s="37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</row>
    <row r="1281" spans="1:26" ht="12.75" customHeight="1" x14ac:dyDescent="0.25">
      <c r="A1281" s="184"/>
      <c r="B1281" s="38"/>
      <c r="C1281" s="38"/>
      <c r="D1281" s="38"/>
      <c r="E1281" s="38"/>
      <c r="F1281" s="185"/>
      <c r="G1281" s="186"/>
      <c r="H1281" s="37"/>
      <c r="I1281" s="37"/>
      <c r="J1281" s="37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</row>
    <row r="1282" spans="1:26" ht="12.75" customHeight="1" x14ac:dyDescent="0.25">
      <c r="A1282" s="184"/>
      <c r="B1282" s="38"/>
      <c r="C1282" s="38"/>
      <c r="D1282" s="38"/>
      <c r="E1282" s="38"/>
      <c r="F1282" s="185"/>
      <c r="G1282" s="186"/>
      <c r="H1282" s="37"/>
      <c r="I1282" s="37"/>
      <c r="J1282" s="37"/>
      <c r="K1282" s="38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</row>
    <row r="1283" spans="1:26" ht="12.75" customHeight="1" x14ac:dyDescent="0.25">
      <c r="A1283" s="184"/>
      <c r="B1283" s="38"/>
      <c r="C1283" s="38"/>
      <c r="D1283" s="38"/>
      <c r="E1283" s="38"/>
      <c r="F1283" s="185"/>
      <c r="G1283" s="186"/>
      <c r="H1283" s="37"/>
      <c r="I1283" s="37"/>
      <c r="J1283" s="37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</row>
    <row r="1284" spans="1:26" ht="12.75" customHeight="1" x14ac:dyDescent="0.25">
      <c r="A1284" s="184"/>
      <c r="B1284" s="38"/>
      <c r="C1284" s="38"/>
      <c r="D1284" s="38"/>
      <c r="E1284" s="38"/>
      <c r="F1284" s="185"/>
      <c r="G1284" s="186"/>
      <c r="H1284" s="37"/>
      <c r="I1284" s="37"/>
      <c r="J1284" s="37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</row>
    <row r="1285" spans="1:26" ht="12.75" customHeight="1" x14ac:dyDescent="0.25">
      <c r="A1285" s="184"/>
      <c r="B1285" s="38"/>
      <c r="C1285" s="38"/>
      <c r="D1285" s="38"/>
      <c r="E1285" s="38"/>
      <c r="F1285" s="185"/>
      <c r="G1285" s="186"/>
      <c r="H1285" s="37"/>
      <c r="I1285" s="37"/>
      <c r="J1285" s="37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</row>
    <row r="1286" spans="1:26" ht="12.75" customHeight="1" x14ac:dyDescent="0.25">
      <c r="A1286" s="184"/>
      <c r="B1286" s="38"/>
      <c r="C1286" s="38"/>
      <c r="D1286" s="38"/>
      <c r="E1286" s="38"/>
      <c r="F1286" s="185"/>
      <c r="G1286" s="186"/>
      <c r="H1286" s="37"/>
      <c r="I1286" s="37"/>
      <c r="J1286" s="37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</row>
    <row r="1287" spans="1:26" ht="12.75" customHeight="1" x14ac:dyDescent="0.25">
      <c r="A1287" s="184"/>
      <c r="B1287" s="38"/>
      <c r="C1287" s="38"/>
      <c r="D1287" s="38"/>
      <c r="E1287" s="38"/>
      <c r="F1287" s="185"/>
      <c r="G1287" s="186"/>
      <c r="H1287" s="37"/>
      <c r="I1287" s="37"/>
      <c r="J1287" s="37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</row>
    <row r="1288" spans="1:26" ht="12.75" customHeight="1" x14ac:dyDescent="0.25">
      <c r="A1288" s="184"/>
      <c r="B1288" s="38"/>
      <c r="C1288" s="38"/>
      <c r="D1288" s="38"/>
      <c r="E1288" s="38"/>
      <c r="F1288" s="185"/>
      <c r="G1288" s="186"/>
      <c r="H1288" s="37"/>
      <c r="I1288" s="37"/>
      <c r="J1288" s="37"/>
      <c r="K1288" s="38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</row>
    <row r="1289" spans="1:26" ht="12.75" customHeight="1" x14ac:dyDescent="0.25">
      <c r="A1289" s="184"/>
      <c r="B1289" s="38"/>
      <c r="C1289" s="38"/>
      <c r="D1289" s="38"/>
      <c r="E1289" s="38"/>
      <c r="F1289" s="185"/>
      <c r="G1289" s="186"/>
      <c r="H1289" s="37"/>
      <c r="I1289" s="37"/>
      <c r="J1289" s="37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</row>
    <row r="1290" spans="1:26" ht="12.75" customHeight="1" x14ac:dyDescent="0.25">
      <c r="A1290" s="184"/>
      <c r="B1290" s="38"/>
      <c r="C1290" s="38"/>
      <c r="D1290" s="38"/>
      <c r="E1290" s="38"/>
      <c r="F1290" s="185"/>
      <c r="G1290" s="186"/>
      <c r="H1290" s="37"/>
      <c r="I1290" s="37"/>
      <c r="J1290" s="37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</row>
    <row r="1291" spans="1:26" ht="12.75" customHeight="1" x14ac:dyDescent="0.25">
      <c r="A1291" s="184"/>
      <c r="B1291" s="38"/>
      <c r="C1291" s="38"/>
      <c r="D1291" s="38"/>
      <c r="E1291" s="38"/>
      <c r="F1291" s="185"/>
      <c r="G1291" s="186"/>
      <c r="H1291" s="37"/>
      <c r="I1291" s="37"/>
      <c r="J1291" s="37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</row>
    <row r="1292" spans="1:26" ht="12.75" customHeight="1" x14ac:dyDescent="0.25">
      <c r="A1292" s="184"/>
      <c r="B1292" s="38"/>
      <c r="C1292" s="38"/>
      <c r="D1292" s="38"/>
      <c r="E1292" s="38"/>
      <c r="F1292" s="185"/>
      <c r="G1292" s="186"/>
      <c r="H1292" s="37"/>
      <c r="I1292" s="37"/>
      <c r="J1292" s="37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</row>
    <row r="1293" spans="1:26" ht="12.75" customHeight="1" x14ac:dyDescent="0.25">
      <c r="A1293" s="184"/>
      <c r="B1293" s="38"/>
      <c r="C1293" s="38"/>
      <c r="D1293" s="38"/>
      <c r="E1293" s="38"/>
      <c r="F1293" s="185"/>
      <c r="G1293" s="186"/>
      <c r="H1293" s="37"/>
      <c r="I1293" s="37"/>
      <c r="J1293" s="37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</row>
    <row r="1294" spans="1:26" ht="12.75" customHeight="1" x14ac:dyDescent="0.25">
      <c r="A1294" s="184"/>
      <c r="B1294" s="38"/>
      <c r="C1294" s="38"/>
      <c r="D1294" s="38"/>
      <c r="E1294" s="38"/>
      <c r="F1294" s="185"/>
      <c r="G1294" s="186"/>
      <c r="H1294" s="37"/>
      <c r="I1294" s="37"/>
      <c r="J1294" s="37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</row>
    <row r="1295" spans="1:26" ht="12.75" customHeight="1" x14ac:dyDescent="0.25">
      <c r="A1295" s="184"/>
      <c r="B1295" s="38"/>
      <c r="C1295" s="38"/>
      <c r="D1295" s="38"/>
      <c r="E1295" s="38"/>
      <c r="F1295" s="185"/>
      <c r="G1295" s="186"/>
      <c r="H1295" s="37"/>
      <c r="I1295" s="37"/>
      <c r="J1295" s="37"/>
      <c r="K1295" s="38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</row>
    <row r="1296" spans="1:26" ht="12.75" customHeight="1" x14ac:dyDescent="0.25">
      <c r="A1296" s="184"/>
      <c r="B1296" s="38"/>
      <c r="C1296" s="38"/>
      <c r="D1296" s="38"/>
      <c r="E1296" s="38"/>
      <c r="F1296" s="185"/>
      <c r="G1296" s="186"/>
      <c r="H1296" s="37"/>
      <c r="I1296" s="37"/>
      <c r="J1296" s="37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</row>
    <row r="1297" spans="1:26" ht="12.75" customHeight="1" x14ac:dyDescent="0.25">
      <c r="A1297" s="184"/>
      <c r="B1297" s="38"/>
      <c r="C1297" s="38"/>
      <c r="D1297" s="38"/>
      <c r="E1297" s="38"/>
      <c r="F1297" s="185"/>
      <c r="G1297" s="186"/>
      <c r="H1297" s="37"/>
      <c r="I1297" s="37"/>
      <c r="J1297" s="37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</row>
    <row r="1298" spans="1:26" ht="12.75" customHeight="1" x14ac:dyDescent="0.25">
      <c r="A1298" s="184"/>
      <c r="B1298" s="38"/>
      <c r="C1298" s="38"/>
      <c r="D1298" s="38"/>
      <c r="E1298" s="38"/>
      <c r="F1298" s="185"/>
      <c r="G1298" s="186"/>
      <c r="H1298" s="37"/>
      <c r="I1298" s="37"/>
      <c r="J1298" s="37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</row>
    <row r="1299" spans="1:26" ht="12.75" customHeight="1" x14ac:dyDescent="0.25">
      <c r="A1299" s="184"/>
      <c r="B1299" s="38"/>
      <c r="C1299" s="38"/>
      <c r="D1299" s="38"/>
      <c r="E1299" s="38"/>
      <c r="F1299" s="185"/>
      <c r="G1299" s="186"/>
      <c r="H1299" s="37"/>
      <c r="I1299" s="37"/>
      <c r="J1299" s="37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</row>
    <row r="1300" spans="1:26" ht="12.75" customHeight="1" x14ac:dyDescent="0.25">
      <c r="A1300" s="184"/>
      <c r="B1300" s="38"/>
      <c r="C1300" s="38"/>
      <c r="D1300" s="38"/>
      <c r="E1300" s="38"/>
      <c r="F1300" s="185"/>
      <c r="G1300" s="186"/>
      <c r="H1300" s="37"/>
      <c r="I1300" s="37"/>
      <c r="J1300" s="37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</row>
    <row r="1301" spans="1:26" ht="12.75" customHeight="1" x14ac:dyDescent="0.25">
      <c r="A1301" s="184"/>
      <c r="B1301" s="38"/>
      <c r="C1301" s="38"/>
      <c r="D1301" s="38"/>
      <c r="E1301" s="38"/>
      <c r="F1301" s="185"/>
      <c r="G1301" s="186"/>
      <c r="H1301" s="37"/>
      <c r="I1301" s="37"/>
      <c r="J1301" s="37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</row>
    <row r="1302" spans="1:26" ht="12.75" customHeight="1" x14ac:dyDescent="0.25">
      <c r="A1302" s="184"/>
      <c r="B1302" s="38"/>
      <c r="C1302" s="38"/>
      <c r="D1302" s="38"/>
      <c r="E1302" s="38"/>
      <c r="F1302" s="185"/>
      <c r="G1302" s="186"/>
      <c r="H1302" s="37"/>
      <c r="I1302" s="37"/>
      <c r="J1302" s="37"/>
      <c r="K1302" s="38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</row>
    <row r="1303" spans="1:26" ht="12.75" customHeight="1" x14ac:dyDescent="0.25">
      <c r="A1303" s="184"/>
      <c r="B1303" s="38"/>
      <c r="C1303" s="38"/>
      <c r="D1303" s="38"/>
      <c r="E1303" s="38"/>
      <c r="F1303" s="185"/>
      <c r="G1303" s="186"/>
      <c r="H1303" s="37"/>
      <c r="I1303" s="37"/>
      <c r="J1303" s="37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</row>
    <row r="1304" spans="1:26" ht="12.75" customHeight="1" x14ac:dyDescent="0.25">
      <c r="A1304" s="184"/>
      <c r="B1304" s="38"/>
      <c r="C1304" s="38"/>
      <c r="D1304" s="38"/>
      <c r="E1304" s="38"/>
      <c r="F1304" s="185"/>
      <c r="G1304" s="186"/>
      <c r="H1304" s="37"/>
      <c r="I1304" s="37"/>
      <c r="J1304" s="37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</row>
    <row r="1305" spans="1:26" ht="12.75" customHeight="1" x14ac:dyDescent="0.25">
      <c r="A1305" s="184"/>
      <c r="B1305" s="38"/>
      <c r="C1305" s="38"/>
      <c r="D1305" s="38"/>
      <c r="E1305" s="38"/>
      <c r="F1305" s="185"/>
      <c r="G1305" s="186"/>
      <c r="H1305" s="37"/>
      <c r="I1305" s="37"/>
      <c r="J1305" s="37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</row>
    <row r="1306" spans="1:26" ht="12.75" customHeight="1" x14ac:dyDescent="0.25">
      <c r="A1306" s="184"/>
      <c r="B1306" s="38"/>
      <c r="C1306" s="38"/>
      <c r="D1306" s="38"/>
      <c r="E1306" s="38"/>
      <c r="F1306" s="185"/>
      <c r="G1306" s="186"/>
      <c r="H1306" s="37"/>
      <c r="I1306" s="37"/>
      <c r="J1306" s="37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</row>
    <row r="1307" spans="1:26" ht="12.75" customHeight="1" x14ac:dyDescent="0.25">
      <c r="A1307" s="184"/>
      <c r="B1307" s="38"/>
      <c r="C1307" s="38"/>
      <c r="D1307" s="38"/>
      <c r="E1307" s="38"/>
      <c r="F1307" s="185"/>
      <c r="G1307" s="186"/>
      <c r="H1307" s="37"/>
      <c r="I1307" s="37"/>
      <c r="J1307" s="37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</row>
    <row r="1308" spans="1:26" ht="12.75" customHeight="1" x14ac:dyDescent="0.25">
      <c r="A1308" s="184"/>
      <c r="B1308" s="38"/>
      <c r="C1308" s="38"/>
      <c r="D1308" s="38"/>
      <c r="E1308" s="38"/>
      <c r="F1308" s="185"/>
      <c r="G1308" s="186"/>
      <c r="H1308" s="37"/>
      <c r="I1308" s="37"/>
      <c r="J1308" s="37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</row>
    <row r="1309" spans="1:26" ht="12.75" customHeight="1" x14ac:dyDescent="0.25">
      <c r="A1309" s="184"/>
      <c r="B1309" s="38"/>
      <c r="C1309" s="38"/>
      <c r="D1309" s="38"/>
      <c r="E1309" s="38"/>
      <c r="F1309" s="185"/>
      <c r="G1309" s="186"/>
      <c r="H1309" s="37"/>
      <c r="I1309" s="37"/>
      <c r="J1309" s="37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</row>
    <row r="1310" spans="1:26" ht="12.75" customHeight="1" x14ac:dyDescent="0.25">
      <c r="A1310" s="184"/>
      <c r="B1310" s="38"/>
      <c r="C1310" s="38"/>
      <c r="D1310" s="38"/>
      <c r="E1310" s="38"/>
      <c r="F1310" s="185"/>
      <c r="G1310" s="186"/>
      <c r="H1310" s="37"/>
      <c r="I1310" s="37"/>
      <c r="J1310" s="37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</row>
    <row r="1311" spans="1:26" ht="12.75" customHeight="1" x14ac:dyDescent="0.25">
      <c r="A1311" s="184"/>
      <c r="B1311" s="38"/>
      <c r="C1311" s="38"/>
      <c r="D1311" s="38"/>
      <c r="E1311" s="38"/>
      <c r="F1311" s="185"/>
      <c r="G1311" s="186"/>
      <c r="H1311" s="37"/>
      <c r="I1311" s="37"/>
      <c r="J1311" s="37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</row>
    <row r="1312" spans="1:26" ht="12.75" customHeight="1" x14ac:dyDescent="0.25">
      <c r="A1312" s="184"/>
      <c r="B1312" s="38"/>
      <c r="C1312" s="38"/>
      <c r="D1312" s="38"/>
      <c r="E1312" s="38"/>
      <c r="F1312" s="185"/>
      <c r="G1312" s="186"/>
      <c r="H1312" s="37"/>
      <c r="I1312" s="37"/>
      <c r="J1312" s="37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</row>
    <row r="1313" spans="1:26" ht="12.75" customHeight="1" x14ac:dyDescent="0.25">
      <c r="A1313" s="184"/>
      <c r="B1313" s="38"/>
      <c r="C1313" s="38"/>
      <c r="D1313" s="38"/>
      <c r="E1313" s="38"/>
      <c r="F1313" s="185"/>
      <c r="G1313" s="186"/>
      <c r="H1313" s="37"/>
      <c r="I1313" s="37"/>
      <c r="J1313" s="37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</row>
    <row r="1314" spans="1:26" ht="12.75" customHeight="1" x14ac:dyDescent="0.25">
      <c r="A1314" s="184"/>
      <c r="B1314" s="38"/>
      <c r="C1314" s="38"/>
      <c r="D1314" s="38"/>
      <c r="E1314" s="38"/>
      <c r="F1314" s="185"/>
      <c r="G1314" s="186"/>
      <c r="H1314" s="37"/>
      <c r="I1314" s="37"/>
      <c r="J1314" s="37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</row>
    <row r="1315" spans="1:26" ht="12.75" customHeight="1" x14ac:dyDescent="0.25">
      <c r="A1315" s="184"/>
      <c r="B1315" s="38"/>
      <c r="C1315" s="38"/>
      <c r="D1315" s="38"/>
      <c r="E1315" s="38"/>
      <c r="F1315" s="185"/>
      <c r="G1315" s="186"/>
      <c r="H1315" s="37"/>
      <c r="I1315" s="37"/>
      <c r="J1315" s="37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</row>
    <row r="1316" spans="1:26" ht="12.75" customHeight="1" x14ac:dyDescent="0.25">
      <c r="A1316" s="184"/>
      <c r="B1316" s="38"/>
      <c r="C1316" s="38"/>
      <c r="D1316" s="38"/>
      <c r="E1316" s="38"/>
      <c r="F1316" s="185"/>
      <c r="G1316" s="186"/>
      <c r="H1316" s="37"/>
      <c r="I1316" s="37"/>
      <c r="J1316" s="37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</row>
    <row r="1317" spans="1:26" ht="12.75" customHeight="1" x14ac:dyDescent="0.25">
      <c r="A1317" s="184"/>
      <c r="B1317" s="38"/>
      <c r="C1317" s="38"/>
      <c r="D1317" s="38"/>
      <c r="E1317" s="38"/>
      <c r="F1317" s="185"/>
      <c r="G1317" s="186"/>
      <c r="H1317" s="37"/>
      <c r="I1317" s="37"/>
      <c r="J1317" s="37"/>
      <c r="K1317" s="38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</row>
    <row r="1318" spans="1:26" ht="12.75" customHeight="1" x14ac:dyDescent="0.25">
      <c r="A1318" s="184"/>
      <c r="B1318" s="38"/>
      <c r="C1318" s="38"/>
      <c r="D1318" s="38"/>
      <c r="E1318" s="38"/>
      <c r="F1318" s="185"/>
      <c r="G1318" s="186"/>
      <c r="H1318" s="37"/>
      <c r="I1318" s="37"/>
      <c r="J1318" s="37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</row>
    <row r="1319" spans="1:26" ht="12.75" customHeight="1" x14ac:dyDescent="0.25">
      <c r="A1319" s="184"/>
      <c r="B1319" s="38"/>
      <c r="C1319" s="38"/>
      <c r="D1319" s="38"/>
      <c r="E1319" s="38"/>
      <c r="F1319" s="185"/>
      <c r="G1319" s="186"/>
      <c r="H1319" s="37"/>
      <c r="I1319" s="37"/>
      <c r="J1319" s="37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</row>
    <row r="1320" spans="1:26" ht="12.75" customHeight="1" x14ac:dyDescent="0.25">
      <c r="A1320" s="184"/>
      <c r="B1320" s="38"/>
      <c r="C1320" s="38"/>
      <c r="D1320" s="38"/>
      <c r="E1320" s="38"/>
      <c r="F1320" s="185"/>
      <c r="G1320" s="186"/>
      <c r="H1320" s="37"/>
      <c r="I1320" s="37"/>
      <c r="J1320" s="37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</row>
    <row r="1321" spans="1:26" ht="12.75" customHeight="1" x14ac:dyDescent="0.25">
      <c r="A1321" s="184"/>
      <c r="B1321" s="38"/>
      <c r="C1321" s="38"/>
      <c r="D1321" s="38"/>
      <c r="E1321" s="38"/>
      <c r="F1321" s="185"/>
      <c r="G1321" s="186"/>
      <c r="H1321" s="37"/>
      <c r="I1321" s="37"/>
      <c r="J1321" s="37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</row>
    <row r="1322" spans="1:26" ht="12.75" customHeight="1" x14ac:dyDescent="0.25">
      <c r="A1322" s="184"/>
      <c r="B1322" s="38"/>
      <c r="C1322" s="38"/>
      <c r="D1322" s="38"/>
      <c r="E1322" s="38"/>
      <c r="F1322" s="185"/>
      <c r="G1322" s="186"/>
      <c r="H1322" s="37"/>
      <c r="I1322" s="37"/>
      <c r="J1322" s="37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</row>
    <row r="1323" spans="1:26" ht="12.75" customHeight="1" x14ac:dyDescent="0.25">
      <c r="A1323" s="184"/>
      <c r="B1323" s="38"/>
      <c r="C1323" s="38"/>
      <c r="D1323" s="38"/>
      <c r="E1323" s="38"/>
      <c r="F1323" s="185"/>
      <c r="G1323" s="186"/>
      <c r="H1323" s="37"/>
      <c r="I1323" s="37"/>
      <c r="J1323" s="37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</row>
    <row r="1324" spans="1:26" ht="12.75" customHeight="1" x14ac:dyDescent="0.25">
      <c r="A1324" s="184"/>
      <c r="B1324" s="38"/>
      <c r="C1324" s="38"/>
      <c r="D1324" s="38"/>
      <c r="E1324" s="38"/>
      <c r="F1324" s="185"/>
      <c r="G1324" s="186"/>
      <c r="H1324" s="37"/>
      <c r="I1324" s="37"/>
      <c r="J1324" s="37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</row>
    <row r="1325" spans="1:26" ht="12.75" customHeight="1" x14ac:dyDescent="0.25">
      <c r="A1325" s="184"/>
      <c r="B1325" s="38"/>
      <c r="C1325" s="38"/>
      <c r="D1325" s="38"/>
      <c r="E1325" s="38"/>
      <c r="F1325" s="185"/>
      <c r="G1325" s="186"/>
      <c r="H1325" s="37"/>
      <c r="I1325" s="37"/>
      <c r="J1325" s="37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</row>
    <row r="1326" spans="1:26" ht="12.75" customHeight="1" x14ac:dyDescent="0.25">
      <c r="A1326" s="184"/>
      <c r="B1326" s="38"/>
      <c r="C1326" s="38"/>
      <c r="D1326" s="38"/>
      <c r="E1326" s="38"/>
      <c r="F1326" s="185"/>
      <c r="G1326" s="186"/>
      <c r="H1326" s="37"/>
      <c r="I1326" s="37"/>
      <c r="J1326" s="37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</row>
    <row r="1327" spans="1:26" ht="12.75" customHeight="1" x14ac:dyDescent="0.25">
      <c r="A1327" s="184"/>
      <c r="B1327" s="38"/>
      <c r="C1327" s="38"/>
      <c r="D1327" s="38"/>
      <c r="E1327" s="38"/>
      <c r="F1327" s="185"/>
      <c r="G1327" s="186"/>
      <c r="H1327" s="37"/>
      <c r="I1327" s="37"/>
      <c r="J1327" s="37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</row>
    <row r="1328" spans="1:26" ht="12.75" customHeight="1" x14ac:dyDescent="0.25">
      <c r="A1328" s="184"/>
      <c r="B1328" s="38"/>
      <c r="C1328" s="38"/>
      <c r="D1328" s="38"/>
      <c r="E1328" s="38"/>
      <c r="F1328" s="185"/>
      <c r="G1328" s="186"/>
      <c r="H1328" s="37"/>
      <c r="I1328" s="37"/>
      <c r="J1328" s="37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</row>
    <row r="1329" spans="1:26" ht="12.75" customHeight="1" x14ac:dyDescent="0.25">
      <c r="A1329" s="184"/>
      <c r="B1329" s="38"/>
      <c r="C1329" s="38"/>
      <c r="D1329" s="38"/>
      <c r="E1329" s="38"/>
      <c r="F1329" s="185"/>
      <c r="G1329" s="186"/>
      <c r="H1329" s="37"/>
      <c r="I1329" s="37"/>
      <c r="J1329" s="37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</row>
    <row r="1330" spans="1:26" ht="12.75" customHeight="1" x14ac:dyDescent="0.25">
      <c r="A1330" s="184"/>
      <c r="B1330" s="38"/>
      <c r="C1330" s="38"/>
      <c r="D1330" s="38"/>
      <c r="E1330" s="38"/>
      <c r="F1330" s="185"/>
      <c r="G1330" s="186"/>
      <c r="H1330" s="37"/>
      <c r="I1330" s="37"/>
      <c r="J1330" s="37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</row>
    <row r="1331" spans="1:26" ht="12.75" customHeight="1" x14ac:dyDescent="0.25">
      <c r="A1331" s="184"/>
      <c r="B1331" s="38"/>
      <c r="C1331" s="38"/>
      <c r="D1331" s="38"/>
      <c r="E1331" s="38"/>
      <c r="F1331" s="185"/>
      <c r="G1331" s="186"/>
      <c r="H1331" s="37"/>
      <c r="I1331" s="37"/>
      <c r="J1331" s="37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</row>
    <row r="1332" spans="1:26" ht="12.75" customHeight="1" x14ac:dyDescent="0.25">
      <c r="A1332" s="184"/>
      <c r="B1332" s="38"/>
      <c r="C1332" s="38"/>
      <c r="D1332" s="38"/>
      <c r="E1332" s="38"/>
      <c r="F1332" s="185"/>
      <c r="G1332" s="186"/>
      <c r="H1332" s="37"/>
      <c r="I1332" s="37"/>
      <c r="J1332" s="37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</row>
    <row r="1333" spans="1:26" ht="12.75" customHeight="1" x14ac:dyDescent="0.25">
      <c r="A1333" s="184"/>
      <c r="B1333" s="38"/>
      <c r="C1333" s="38"/>
      <c r="D1333" s="38"/>
      <c r="E1333" s="38"/>
      <c r="F1333" s="185"/>
      <c r="G1333" s="186"/>
      <c r="H1333" s="37"/>
      <c r="I1333" s="37"/>
      <c r="J1333" s="37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</row>
    <row r="1334" spans="1:26" ht="12.75" customHeight="1" x14ac:dyDescent="0.25">
      <c r="A1334" s="184"/>
      <c r="B1334" s="38"/>
      <c r="C1334" s="38"/>
      <c r="D1334" s="38"/>
      <c r="E1334" s="38"/>
      <c r="F1334" s="185"/>
      <c r="G1334" s="186"/>
      <c r="H1334" s="37"/>
      <c r="I1334" s="37"/>
      <c r="J1334" s="37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</row>
    <row r="1335" spans="1:26" ht="12.75" customHeight="1" x14ac:dyDescent="0.25">
      <c r="A1335" s="184"/>
      <c r="B1335" s="38"/>
      <c r="C1335" s="38"/>
      <c r="D1335" s="38"/>
      <c r="E1335" s="38"/>
      <c r="F1335" s="185"/>
      <c r="G1335" s="186"/>
      <c r="H1335" s="37"/>
      <c r="I1335" s="37"/>
      <c r="J1335" s="37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</row>
    <row r="1336" spans="1:26" ht="12.75" customHeight="1" x14ac:dyDescent="0.25">
      <c r="A1336" s="184"/>
      <c r="B1336" s="38"/>
      <c r="C1336" s="38"/>
      <c r="D1336" s="38"/>
      <c r="E1336" s="38"/>
      <c r="F1336" s="185"/>
      <c r="G1336" s="186"/>
      <c r="H1336" s="37"/>
      <c r="I1336" s="37"/>
      <c r="J1336" s="37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</row>
    <row r="1337" spans="1:26" ht="12.75" customHeight="1" x14ac:dyDescent="0.25">
      <c r="A1337" s="184"/>
      <c r="B1337" s="38"/>
      <c r="C1337" s="38"/>
      <c r="D1337" s="38"/>
      <c r="E1337" s="38"/>
      <c r="F1337" s="185"/>
      <c r="G1337" s="186"/>
      <c r="H1337" s="37"/>
      <c r="I1337" s="37"/>
      <c r="J1337" s="37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</row>
    <row r="1338" spans="1:26" ht="12.75" customHeight="1" x14ac:dyDescent="0.25">
      <c r="A1338" s="184"/>
      <c r="B1338" s="38"/>
      <c r="C1338" s="38"/>
      <c r="D1338" s="38"/>
      <c r="E1338" s="38"/>
      <c r="F1338" s="185"/>
      <c r="G1338" s="186"/>
      <c r="H1338" s="37"/>
      <c r="I1338" s="37"/>
      <c r="J1338" s="37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</row>
    <row r="1339" spans="1:26" ht="12.75" customHeight="1" x14ac:dyDescent="0.25">
      <c r="A1339" s="184"/>
      <c r="B1339" s="38"/>
      <c r="C1339" s="38"/>
      <c r="D1339" s="38"/>
      <c r="E1339" s="38"/>
      <c r="F1339" s="185"/>
      <c r="G1339" s="186"/>
      <c r="H1339" s="37"/>
      <c r="I1339" s="37"/>
      <c r="J1339" s="37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</row>
    <row r="1340" spans="1:26" ht="12.75" customHeight="1" x14ac:dyDescent="0.25">
      <c r="A1340" s="184"/>
      <c r="B1340" s="38"/>
      <c r="C1340" s="38"/>
      <c r="D1340" s="38"/>
      <c r="E1340" s="38"/>
      <c r="F1340" s="185"/>
      <c r="G1340" s="186"/>
      <c r="H1340" s="37"/>
      <c r="I1340" s="37"/>
      <c r="J1340" s="37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</row>
    <row r="1341" spans="1:26" ht="12.75" customHeight="1" x14ac:dyDescent="0.25">
      <c r="A1341" s="184"/>
      <c r="B1341" s="38"/>
      <c r="C1341" s="38"/>
      <c r="D1341" s="38"/>
      <c r="E1341" s="38"/>
      <c r="F1341" s="185"/>
      <c r="G1341" s="186"/>
      <c r="H1341" s="37"/>
      <c r="I1341" s="37"/>
      <c r="J1341" s="37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</row>
    <row r="1342" spans="1:26" ht="12.75" customHeight="1" x14ac:dyDescent="0.25">
      <c r="A1342" s="184"/>
      <c r="B1342" s="38"/>
      <c r="C1342" s="38"/>
      <c r="D1342" s="38"/>
      <c r="E1342" s="38"/>
      <c r="F1342" s="185"/>
      <c r="G1342" s="186"/>
      <c r="H1342" s="37"/>
      <c r="I1342" s="37"/>
      <c r="J1342" s="37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</row>
    <row r="1343" spans="1:26" ht="12.75" customHeight="1" x14ac:dyDescent="0.25">
      <c r="A1343" s="184"/>
      <c r="B1343" s="38"/>
      <c r="C1343" s="38"/>
      <c r="D1343" s="38"/>
      <c r="E1343" s="38"/>
      <c r="F1343" s="185"/>
      <c r="G1343" s="186"/>
      <c r="H1343" s="37"/>
      <c r="I1343" s="37"/>
      <c r="J1343" s="37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</row>
    <row r="1344" spans="1:26" ht="12.75" customHeight="1" x14ac:dyDescent="0.25">
      <c r="A1344" s="184"/>
      <c r="B1344" s="38"/>
      <c r="C1344" s="38"/>
      <c r="D1344" s="38"/>
      <c r="E1344" s="38"/>
      <c r="F1344" s="185"/>
      <c r="G1344" s="186"/>
      <c r="H1344" s="37"/>
      <c r="I1344" s="37"/>
      <c r="J1344" s="37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</row>
    <row r="1345" spans="1:26" ht="12.75" customHeight="1" x14ac:dyDescent="0.25">
      <c r="A1345" s="184"/>
      <c r="B1345" s="38"/>
      <c r="C1345" s="38"/>
      <c r="D1345" s="38"/>
      <c r="E1345" s="38"/>
      <c r="F1345" s="185"/>
      <c r="G1345" s="186"/>
      <c r="H1345" s="37"/>
      <c r="I1345" s="37"/>
      <c r="J1345" s="37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</row>
    <row r="1346" spans="1:26" ht="12.75" customHeight="1" x14ac:dyDescent="0.25">
      <c r="A1346" s="184"/>
      <c r="B1346" s="38"/>
      <c r="C1346" s="38"/>
      <c r="D1346" s="38"/>
      <c r="E1346" s="38"/>
      <c r="F1346" s="185"/>
      <c r="G1346" s="186"/>
      <c r="H1346" s="37"/>
      <c r="I1346" s="37"/>
      <c r="J1346" s="37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</row>
    <row r="1347" spans="1:26" ht="12.75" customHeight="1" x14ac:dyDescent="0.25">
      <c r="A1347" s="184"/>
      <c r="B1347" s="38"/>
      <c r="C1347" s="38"/>
      <c r="D1347" s="38"/>
      <c r="E1347" s="38"/>
      <c r="F1347" s="185"/>
      <c r="G1347" s="186"/>
      <c r="H1347" s="37"/>
      <c r="I1347" s="37"/>
      <c r="J1347" s="37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</row>
    <row r="1348" spans="1:26" ht="12.75" customHeight="1" x14ac:dyDescent="0.25">
      <c r="A1348" s="184"/>
      <c r="B1348" s="38"/>
      <c r="C1348" s="38"/>
      <c r="D1348" s="38"/>
      <c r="E1348" s="38"/>
      <c r="F1348" s="185"/>
      <c r="G1348" s="186"/>
      <c r="H1348" s="37"/>
      <c r="I1348" s="37"/>
      <c r="J1348" s="37"/>
      <c r="K1348" s="38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</row>
    <row r="1349" spans="1:26" ht="12.75" customHeight="1" x14ac:dyDescent="0.25">
      <c r="A1349" s="184"/>
      <c r="B1349" s="38"/>
      <c r="C1349" s="38"/>
      <c r="D1349" s="38"/>
      <c r="E1349" s="38"/>
      <c r="F1349" s="185"/>
      <c r="G1349" s="186"/>
      <c r="H1349" s="37"/>
      <c r="I1349" s="37"/>
      <c r="J1349" s="37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</row>
    <row r="1350" spans="1:26" ht="12.75" customHeight="1" x14ac:dyDescent="0.25">
      <c r="A1350" s="184"/>
      <c r="B1350" s="38"/>
      <c r="C1350" s="38"/>
      <c r="D1350" s="38"/>
      <c r="E1350" s="38"/>
      <c r="F1350" s="185"/>
      <c r="G1350" s="186"/>
      <c r="H1350" s="37"/>
      <c r="I1350" s="37"/>
      <c r="J1350" s="37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</row>
    <row r="1351" spans="1:26" ht="12.75" customHeight="1" x14ac:dyDescent="0.25">
      <c r="A1351" s="184"/>
      <c r="B1351" s="38"/>
      <c r="C1351" s="38"/>
      <c r="D1351" s="38"/>
      <c r="E1351" s="38"/>
      <c r="F1351" s="185"/>
      <c r="G1351" s="186"/>
      <c r="H1351" s="37"/>
      <c r="I1351" s="37"/>
      <c r="J1351" s="37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</row>
    <row r="1352" spans="1:26" ht="12.75" customHeight="1" x14ac:dyDescent="0.25">
      <c r="A1352" s="184"/>
      <c r="B1352" s="38"/>
      <c r="C1352" s="38"/>
      <c r="D1352" s="38"/>
      <c r="E1352" s="38"/>
      <c r="F1352" s="185"/>
      <c r="G1352" s="186"/>
      <c r="H1352" s="37"/>
      <c r="I1352" s="37"/>
      <c r="J1352" s="37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</row>
    <row r="1353" spans="1:26" ht="12.75" customHeight="1" x14ac:dyDescent="0.25">
      <c r="A1353" s="184"/>
      <c r="B1353" s="38"/>
      <c r="C1353" s="38"/>
      <c r="D1353" s="38"/>
      <c r="E1353" s="38"/>
      <c r="F1353" s="185"/>
      <c r="G1353" s="186"/>
      <c r="H1353" s="37"/>
      <c r="I1353" s="37"/>
      <c r="J1353" s="37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</row>
    <row r="1354" spans="1:26" ht="12.75" customHeight="1" x14ac:dyDescent="0.25">
      <c r="A1354" s="184"/>
      <c r="B1354" s="38"/>
      <c r="C1354" s="38"/>
      <c r="D1354" s="38"/>
      <c r="E1354" s="38"/>
      <c r="F1354" s="185"/>
      <c r="G1354" s="186"/>
      <c r="H1354" s="37"/>
      <c r="I1354" s="37"/>
      <c r="J1354" s="37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</row>
    <row r="1355" spans="1:26" ht="12.75" customHeight="1" x14ac:dyDescent="0.25">
      <c r="A1355" s="184"/>
      <c r="B1355" s="38"/>
      <c r="C1355" s="38"/>
      <c r="D1355" s="38"/>
      <c r="E1355" s="38"/>
      <c r="F1355" s="185"/>
      <c r="G1355" s="186"/>
      <c r="H1355" s="37"/>
      <c r="I1355" s="37"/>
      <c r="J1355" s="37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</row>
    <row r="1356" spans="1:26" ht="12.75" customHeight="1" x14ac:dyDescent="0.25">
      <c r="A1356" s="184"/>
      <c r="B1356" s="38"/>
      <c r="C1356" s="38"/>
      <c r="D1356" s="38"/>
      <c r="E1356" s="38"/>
      <c r="F1356" s="185"/>
      <c r="G1356" s="186"/>
      <c r="H1356" s="37"/>
      <c r="I1356" s="37"/>
      <c r="J1356" s="37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</row>
    <row r="1357" spans="1:26" ht="12.75" customHeight="1" x14ac:dyDescent="0.25">
      <c r="A1357" s="184"/>
      <c r="B1357" s="38"/>
      <c r="C1357" s="38"/>
      <c r="D1357" s="38"/>
      <c r="E1357" s="38"/>
      <c r="F1357" s="185"/>
      <c r="G1357" s="186"/>
      <c r="H1357" s="37"/>
      <c r="I1357" s="37"/>
      <c r="J1357" s="37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</row>
    <row r="1358" spans="1:26" ht="12.75" customHeight="1" x14ac:dyDescent="0.25">
      <c r="A1358" s="184"/>
      <c r="B1358" s="38"/>
      <c r="C1358" s="38"/>
      <c r="D1358" s="38"/>
      <c r="E1358" s="38"/>
      <c r="F1358" s="185"/>
      <c r="G1358" s="186"/>
      <c r="H1358" s="37"/>
      <c r="I1358" s="37"/>
      <c r="J1358" s="37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</row>
    <row r="1359" spans="1:26" ht="12.75" customHeight="1" x14ac:dyDescent="0.25">
      <c r="A1359" s="184"/>
      <c r="B1359" s="38"/>
      <c r="C1359" s="38"/>
      <c r="D1359" s="38"/>
      <c r="E1359" s="38"/>
      <c r="F1359" s="185"/>
      <c r="G1359" s="186"/>
      <c r="H1359" s="37"/>
      <c r="I1359" s="37"/>
      <c r="J1359" s="37"/>
      <c r="K1359" s="38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</row>
    <row r="1360" spans="1:26" ht="12.75" customHeight="1" x14ac:dyDescent="0.25">
      <c r="A1360" s="184"/>
      <c r="B1360" s="38"/>
      <c r="C1360" s="38"/>
      <c r="D1360" s="38"/>
      <c r="E1360" s="38"/>
      <c r="F1360" s="185"/>
      <c r="G1360" s="186"/>
      <c r="H1360" s="37"/>
      <c r="I1360" s="37"/>
      <c r="J1360" s="37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</row>
    <row r="1361" spans="1:26" ht="12.75" customHeight="1" x14ac:dyDescent="0.25">
      <c r="A1361" s="184"/>
      <c r="B1361" s="38"/>
      <c r="C1361" s="38"/>
      <c r="D1361" s="38"/>
      <c r="E1361" s="38"/>
      <c r="F1361" s="185"/>
      <c r="G1361" s="186"/>
      <c r="H1361" s="37"/>
      <c r="I1361" s="37"/>
      <c r="J1361" s="37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</row>
    <row r="1362" spans="1:26" ht="12.75" customHeight="1" x14ac:dyDescent="0.25">
      <c r="A1362" s="184"/>
      <c r="B1362" s="38"/>
      <c r="C1362" s="38"/>
      <c r="D1362" s="38"/>
      <c r="E1362" s="38"/>
      <c r="F1362" s="185"/>
      <c r="G1362" s="186"/>
      <c r="H1362" s="37"/>
      <c r="I1362" s="37"/>
      <c r="J1362" s="37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</row>
    <row r="1363" spans="1:26" ht="12.75" customHeight="1" x14ac:dyDescent="0.25">
      <c r="A1363" s="184"/>
      <c r="B1363" s="38"/>
      <c r="C1363" s="38"/>
      <c r="D1363" s="38"/>
      <c r="E1363" s="38"/>
      <c r="F1363" s="185"/>
      <c r="G1363" s="186"/>
      <c r="H1363" s="37"/>
      <c r="I1363" s="37"/>
      <c r="J1363" s="37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</row>
    <row r="1364" spans="1:26" ht="12.75" customHeight="1" x14ac:dyDescent="0.25">
      <c r="A1364" s="184"/>
      <c r="B1364" s="38"/>
      <c r="C1364" s="38"/>
      <c r="D1364" s="38"/>
      <c r="E1364" s="38"/>
      <c r="F1364" s="185"/>
      <c r="G1364" s="186"/>
      <c r="H1364" s="37"/>
      <c r="I1364" s="37"/>
      <c r="J1364" s="37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</row>
    <row r="1365" spans="1:26" ht="12.75" customHeight="1" x14ac:dyDescent="0.25">
      <c r="A1365" s="184"/>
      <c r="B1365" s="38"/>
      <c r="C1365" s="38"/>
      <c r="D1365" s="38"/>
      <c r="E1365" s="38"/>
      <c r="F1365" s="185"/>
      <c r="G1365" s="186"/>
      <c r="H1365" s="37"/>
      <c r="I1365" s="37"/>
      <c r="J1365" s="37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</row>
    <row r="1366" spans="1:26" ht="12.75" customHeight="1" x14ac:dyDescent="0.25">
      <c r="A1366" s="184"/>
      <c r="B1366" s="38"/>
      <c r="C1366" s="38"/>
      <c r="D1366" s="38"/>
      <c r="E1366" s="38"/>
      <c r="F1366" s="185"/>
      <c r="G1366" s="186"/>
      <c r="H1366" s="37"/>
      <c r="I1366" s="37"/>
      <c r="J1366" s="37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</row>
    <row r="1367" spans="1:26" ht="12.75" customHeight="1" x14ac:dyDescent="0.25">
      <c r="A1367" s="184"/>
      <c r="B1367" s="38"/>
      <c r="C1367" s="38"/>
      <c r="D1367" s="38"/>
      <c r="E1367" s="38"/>
      <c r="F1367" s="185"/>
      <c r="G1367" s="186"/>
      <c r="H1367" s="37"/>
      <c r="I1367" s="37"/>
      <c r="J1367" s="37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</row>
    <row r="1368" spans="1:26" ht="12.75" customHeight="1" x14ac:dyDescent="0.25">
      <c r="A1368" s="184"/>
      <c r="B1368" s="38"/>
      <c r="C1368" s="38"/>
      <c r="D1368" s="38"/>
      <c r="E1368" s="38"/>
      <c r="F1368" s="185"/>
      <c r="G1368" s="186"/>
      <c r="H1368" s="37"/>
      <c r="I1368" s="37"/>
      <c r="J1368" s="37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</row>
    <row r="1369" spans="1:26" ht="12.75" customHeight="1" x14ac:dyDescent="0.25">
      <c r="A1369" s="184"/>
      <c r="B1369" s="38"/>
      <c r="C1369" s="38"/>
      <c r="D1369" s="38"/>
      <c r="E1369" s="38"/>
      <c r="F1369" s="185"/>
      <c r="G1369" s="186"/>
      <c r="H1369" s="37"/>
      <c r="I1369" s="37"/>
      <c r="J1369" s="37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</row>
    <row r="1370" spans="1:26" ht="12.75" customHeight="1" x14ac:dyDescent="0.25">
      <c r="A1370" s="184"/>
      <c r="B1370" s="38"/>
      <c r="C1370" s="38"/>
      <c r="D1370" s="38"/>
      <c r="E1370" s="38"/>
      <c r="F1370" s="185"/>
      <c r="G1370" s="186"/>
      <c r="H1370" s="37"/>
      <c r="I1370" s="37"/>
      <c r="J1370" s="37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</row>
    <row r="1371" spans="1:26" ht="12.75" customHeight="1" x14ac:dyDescent="0.25">
      <c r="A1371" s="184"/>
      <c r="B1371" s="38"/>
      <c r="C1371" s="38"/>
      <c r="D1371" s="38"/>
      <c r="E1371" s="38"/>
      <c r="F1371" s="185"/>
      <c r="G1371" s="186"/>
      <c r="H1371" s="37"/>
      <c r="I1371" s="37"/>
      <c r="J1371" s="37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</row>
    <row r="1372" spans="1:26" ht="12.75" customHeight="1" x14ac:dyDescent="0.25">
      <c r="A1372" s="184"/>
      <c r="B1372" s="38"/>
      <c r="C1372" s="38"/>
      <c r="D1372" s="38"/>
      <c r="E1372" s="38"/>
      <c r="F1372" s="185"/>
      <c r="G1372" s="186"/>
      <c r="H1372" s="37"/>
      <c r="I1372" s="37"/>
      <c r="J1372" s="37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</row>
    <row r="1373" spans="1:26" ht="12.75" customHeight="1" x14ac:dyDescent="0.25">
      <c r="A1373" s="184"/>
      <c r="B1373" s="38"/>
      <c r="C1373" s="38"/>
      <c r="D1373" s="38"/>
      <c r="E1373" s="38"/>
      <c r="F1373" s="185"/>
      <c r="G1373" s="186"/>
      <c r="H1373" s="37"/>
      <c r="I1373" s="37"/>
      <c r="J1373" s="37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</row>
    <row r="1374" spans="1:26" ht="12.75" customHeight="1" x14ac:dyDescent="0.25">
      <c r="A1374" s="184"/>
      <c r="B1374" s="38"/>
      <c r="C1374" s="38"/>
      <c r="D1374" s="38"/>
      <c r="E1374" s="38"/>
      <c r="F1374" s="185"/>
      <c r="G1374" s="186"/>
      <c r="H1374" s="37"/>
      <c r="I1374" s="37"/>
      <c r="J1374" s="37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</row>
    <row r="1375" spans="1:26" ht="12.75" customHeight="1" x14ac:dyDescent="0.25">
      <c r="A1375" s="184"/>
      <c r="B1375" s="38"/>
      <c r="C1375" s="38"/>
      <c r="D1375" s="38"/>
      <c r="E1375" s="38"/>
      <c r="F1375" s="185"/>
      <c r="G1375" s="186"/>
      <c r="H1375" s="37"/>
      <c r="I1375" s="37"/>
      <c r="J1375" s="37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</row>
    <row r="1376" spans="1:26" ht="12.75" customHeight="1" x14ac:dyDescent="0.25">
      <c r="A1376" s="184"/>
      <c r="B1376" s="38"/>
      <c r="C1376" s="38"/>
      <c r="D1376" s="38"/>
      <c r="E1376" s="38"/>
      <c r="F1376" s="185"/>
      <c r="G1376" s="186"/>
      <c r="H1376" s="37"/>
      <c r="I1376" s="37"/>
      <c r="J1376" s="37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</row>
    <row r="1377" spans="1:26" ht="12.75" customHeight="1" x14ac:dyDescent="0.25">
      <c r="A1377" s="184"/>
      <c r="B1377" s="38"/>
      <c r="C1377" s="38"/>
      <c r="D1377" s="38"/>
      <c r="E1377" s="38"/>
      <c r="F1377" s="185"/>
      <c r="G1377" s="186"/>
      <c r="H1377" s="37"/>
      <c r="I1377" s="37"/>
      <c r="J1377" s="37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</row>
    <row r="1378" spans="1:26" ht="12.75" customHeight="1" x14ac:dyDescent="0.25">
      <c r="A1378" s="184"/>
      <c r="B1378" s="38"/>
      <c r="C1378" s="38"/>
      <c r="D1378" s="38"/>
      <c r="E1378" s="38"/>
      <c r="F1378" s="185"/>
      <c r="G1378" s="186"/>
      <c r="H1378" s="37"/>
      <c r="I1378" s="37"/>
      <c r="J1378" s="37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</row>
    <row r="1379" spans="1:26" ht="12.75" customHeight="1" x14ac:dyDescent="0.25">
      <c r="A1379" s="184"/>
      <c r="B1379" s="38"/>
      <c r="C1379" s="38"/>
      <c r="D1379" s="38"/>
      <c r="E1379" s="38"/>
      <c r="F1379" s="185"/>
      <c r="G1379" s="186"/>
      <c r="H1379" s="37"/>
      <c r="I1379" s="37"/>
      <c r="J1379" s="37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</row>
    <row r="1380" spans="1:26" ht="12.75" customHeight="1" x14ac:dyDescent="0.25">
      <c r="A1380" s="184"/>
      <c r="B1380" s="38"/>
      <c r="C1380" s="38"/>
      <c r="D1380" s="38"/>
      <c r="E1380" s="38"/>
      <c r="F1380" s="185"/>
      <c r="G1380" s="186"/>
      <c r="H1380" s="37"/>
      <c r="I1380" s="37"/>
      <c r="J1380" s="37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</row>
    <row r="1381" spans="1:26" ht="12.75" customHeight="1" x14ac:dyDescent="0.25">
      <c r="A1381" s="184"/>
      <c r="B1381" s="38"/>
      <c r="C1381" s="38"/>
      <c r="D1381" s="38"/>
      <c r="E1381" s="38"/>
      <c r="F1381" s="185"/>
      <c r="G1381" s="186"/>
      <c r="H1381" s="37"/>
      <c r="I1381" s="37"/>
      <c r="J1381" s="37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</row>
    <row r="1382" spans="1:26" ht="12.75" customHeight="1" x14ac:dyDescent="0.25">
      <c r="A1382" s="184"/>
      <c r="B1382" s="38"/>
      <c r="C1382" s="38"/>
      <c r="D1382" s="38"/>
      <c r="E1382" s="38"/>
      <c r="F1382" s="185"/>
      <c r="G1382" s="186"/>
      <c r="H1382" s="37"/>
      <c r="I1382" s="37"/>
      <c r="J1382" s="37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</row>
    <row r="1383" spans="1:26" ht="12.75" customHeight="1" x14ac:dyDescent="0.25">
      <c r="A1383" s="184"/>
      <c r="B1383" s="38"/>
      <c r="C1383" s="38"/>
      <c r="D1383" s="38"/>
      <c r="E1383" s="38"/>
      <c r="F1383" s="185"/>
      <c r="G1383" s="186"/>
      <c r="H1383" s="37"/>
      <c r="I1383" s="37"/>
      <c r="J1383" s="37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</row>
    <row r="1384" spans="1:26" ht="12.75" customHeight="1" x14ac:dyDescent="0.25">
      <c r="A1384" s="184"/>
      <c r="B1384" s="38"/>
      <c r="C1384" s="38"/>
      <c r="D1384" s="38"/>
      <c r="E1384" s="38"/>
      <c r="F1384" s="185"/>
      <c r="G1384" s="186"/>
      <c r="H1384" s="37"/>
      <c r="I1384" s="37"/>
      <c r="J1384" s="37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</row>
    <row r="1385" spans="1:26" ht="12.75" customHeight="1" x14ac:dyDescent="0.25">
      <c r="A1385" s="184"/>
      <c r="B1385" s="38"/>
      <c r="C1385" s="38"/>
      <c r="D1385" s="38"/>
      <c r="E1385" s="38"/>
      <c r="F1385" s="185"/>
      <c r="G1385" s="186"/>
      <c r="H1385" s="37"/>
      <c r="I1385" s="37"/>
      <c r="J1385" s="37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</row>
    <row r="1386" spans="1:26" ht="12.75" customHeight="1" x14ac:dyDescent="0.25">
      <c r="A1386" s="184"/>
      <c r="B1386" s="38"/>
      <c r="C1386" s="38"/>
      <c r="D1386" s="38"/>
      <c r="E1386" s="38"/>
      <c r="F1386" s="185"/>
      <c r="G1386" s="186"/>
      <c r="H1386" s="37"/>
      <c r="I1386" s="37"/>
      <c r="J1386" s="37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</row>
    <row r="1387" spans="1:26" ht="12.75" customHeight="1" x14ac:dyDescent="0.25">
      <c r="A1387" s="184"/>
      <c r="B1387" s="38"/>
      <c r="C1387" s="38"/>
      <c r="D1387" s="38"/>
      <c r="E1387" s="38"/>
      <c r="F1387" s="185"/>
      <c r="G1387" s="186"/>
      <c r="H1387" s="37"/>
      <c r="I1387" s="37"/>
      <c r="J1387" s="37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</row>
    <row r="1388" spans="1:26" ht="12.75" customHeight="1" x14ac:dyDescent="0.25">
      <c r="A1388" s="184"/>
      <c r="B1388" s="38"/>
      <c r="C1388" s="38"/>
      <c r="D1388" s="38"/>
      <c r="E1388" s="38"/>
      <c r="F1388" s="185"/>
      <c r="G1388" s="186"/>
      <c r="H1388" s="37"/>
      <c r="I1388" s="37"/>
      <c r="J1388" s="37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</row>
    <row r="1389" spans="1:26" ht="12.75" customHeight="1" x14ac:dyDescent="0.25">
      <c r="A1389" s="184"/>
      <c r="B1389" s="38"/>
      <c r="C1389" s="38"/>
      <c r="D1389" s="38"/>
      <c r="E1389" s="38"/>
      <c r="F1389" s="185"/>
      <c r="G1389" s="186"/>
      <c r="H1389" s="37"/>
      <c r="I1389" s="37"/>
      <c r="J1389" s="37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</row>
    <row r="1390" spans="1:26" ht="12.75" customHeight="1" x14ac:dyDescent="0.25">
      <c r="A1390" s="184"/>
      <c r="B1390" s="38"/>
      <c r="C1390" s="38"/>
      <c r="D1390" s="38"/>
      <c r="E1390" s="38"/>
      <c r="F1390" s="185"/>
      <c r="G1390" s="186"/>
      <c r="H1390" s="37"/>
      <c r="I1390" s="37"/>
      <c r="J1390" s="37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</row>
    <row r="1391" spans="1:26" ht="12.75" customHeight="1" x14ac:dyDescent="0.25">
      <c r="A1391" s="184"/>
      <c r="B1391" s="38"/>
      <c r="C1391" s="38"/>
      <c r="D1391" s="38"/>
      <c r="E1391" s="38"/>
      <c r="F1391" s="185"/>
      <c r="G1391" s="186"/>
      <c r="H1391" s="37"/>
      <c r="I1391" s="37"/>
      <c r="J1391" s="37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</row>
    <row r="1392" spans="1:26" ht="12.75" customHeight="1" x14ac:dyDescent="0.25">
      <c r="A1392" s="184"/>
      <c r="B1392" s="38"/>
      <c r="C1392" s="38"/>
      <c r="D1392" s="38"/>
      <c r="E1392" s="38"/>
      <c r="F1392" s="185"/>
      <c r="G1392" s="186"/>
      <c r="H1392" s="37"/>
      <c r="I1392" s="37"/>
      <c r="J1392" s="37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</row>
    <row r="1393" spans="1:26" ht="12.75" customHeight="1" x14ac:dyDescent="0.25">
      <c r="A1393" s="184"/>
      <c r="B1393" s="38"/>
      <c r="C1393" s="38"/>
      <c r="D1393" s="38"/>
      <c r="E1393" s="38"/>
      <c r="F1393" s="185"/>
      <c r="G1393" s="186"/>
      <c r="H1393" s="37"/>
      <c r="I1393" s="37"/>
      <c r="J1393" s="37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</row>
    <row r="1394" spans="1:26" ht="12.75" customHeight="1" x14ac:dyDescent="0.25">
      <c r="A1394" s="184"/>
      <c r="B1394" s="38"/>
      <c r="C1394" s="38"/>
      <c r="D1394" s="38"/>
      <c r="E1394" s="38"/>
      <c r="F1394" s="185"/>
      <c r="G1394" s="186"/>
      <c r="H1394" s="37"/>
      <c r="I1394" s="37"/>
      <c r="J1394" s="37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</row>
    <row r="1395" spans="1:26" ht="12.75" customHeight="1" x14ac:dyDescent="0.25">
      <c r="A1395" s="184"/>
      <c r="B1395" s="38"/>
      <c r="C1395" s="38"/>
      <c r="D1395" s="38"/>
      <c r="E1395" s="38"/>
      <c r="F1395" s="185"/>
      <c r="G1395" s="186"/>
      <c r="H1395" s="37"/>
      <c r="I1395" s="37"/>
      <c r="J1395" s="37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</row>
    <row r="1396" spans="1:26" ht="12.75" customHeight="1" x14ac:dyDescent="0.25">
      <c r="A1396" s="184"/>
      <c r="B1396" s="38"/>
      <c r="C1396" s="38"/>
      <c r="D1396" s="38"/>
      <c r="E1396" s="38"/>
      <c r="F1396" s="185"/>
      <c r="G1396" s="186"/>
      <c r="H1396" s="37"/>
      <c r="I1396" s="37"/>
      <c r="J1396" s="37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</row>
    <row r="1397" spans="1:26" ht="12.75" customHeight="1" x14ac:dyDescent="0.25">
      <c r="A1397" s="184"/>
      <c r="B1397" s="38"/>
      <c r="C1397" s="38"/>
      <c r="D1397" s="38"/>
      <c r="E1397" s="38"/>
      <c r="F1397" s="185"/>
      <c r="G1397" s="186"/>
      <c r="H1397" s="37"/>
      <c r="I1397" s="37"/>
      <c r="J1397" s="37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</row>
    <row r="1398" spans="1:26" ht="12.75" customHeight="1" x14ac:dyDescent="0.25">
      <c r="A1398" s="184"/>
      <c r="B1398" s="38"/>
      <c r="C1398" s="38"/>
      <c r="D1398" s="38"/>
      <c r="E1398" s="38"/>
      <c r="F1398" s="185"/>
      <c r="G1398" s="186"/>
      <c r="H1398" s="37"/>
      <c r="I1398" s="37"/>
      <c r="J1398" s="37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</row>
    <row r="1399" spans="1:26" ht="12.75" customHeight="1" x14ac:dyDescent="0.25">
      <c r="A1399" s="184"/>
      <c r="B1399" s="38"/>
      <c r="C1399" s="38"/>
      <c r="D1399" s="38"/>
      <c r="E1399" s="38"/>
      <c r="F1399" s="185"/>
      <c r="G1399" s="186"/>
      <c r="H1399" s="37"/>
      <c r="I1399" s="37"/>
      <c r="J1399" s="37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</row>
    <row r="1400" spans="1:26" ht="12.75" customHeight="1" x14ac:dyDescent="0.25">
      <c r="A1400" s="184"/>
      <c r="B1400" s="38"/>
      <c r="C1400" s="38"/>
      <c r="D1400" s="38"/>
      <c r="E1400" s="38"/>
      <c r="F1400" s="185"/>
      <c r="G1400" s="186"/>
      <c r="H1400" s="37"/>
      <c r="I1400" s="37"/>
      <c r="J1400" s="37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</row>
    <row r="1401" spans="1:26" ht="12.75" customHeight="1" x14ac:dyDescent="0.25">
      <c r="A1401" s="184"/>
      <c r="B1401" s="38"/>
      <c r="C1401" s="38"/>
      <c r="D1401" s="38"/>
      <c r="E1401" s="38"/>
      <c r="F1401" s="185"/>
      <c r="G1401" s="186"/>
      <c r="H1401" s="37"/>
      <c r="I1401" s="37"/>
      <c r="J1401" s="37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</row>
    <row r="1402" spans="1:26" ht="12.75" customHeight="1" x14ac:dyDescent="0.25">
      <c r="A1402" s="184"/>
      <c r="B1402" s="38"/>
      <c r="C1402" s="38"/>
      <c r="D1402" s="38"/>
      <c r="E1402" s="38"/>
      <c r="F1402" s="185"/>
      <c r="G1402" s="186"/>
      <c r="H1402" s="37"/>
      <c r="I1402" s="37"/>
      <c r="J1402" s="37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</row>
    <row r="1403" spans="1:26" ht="12.75" customHeight="1" x14ac:dyDescent="0.25">
      <c r="A1403" s="184"/>
      <c r="B1403" s="38"/>
      <c r="C1403" s="38"/>
      <c r="D1403" s="38"/>
      <c r="E1403" s="38"/>
      <c r="F1403" s="185"/>
      <c r="G1403" s="186"/>
      <c r="H1403" s="37"/>
      <c r="I1403" s="37"/>
      <c r="J1403" s="37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</row>
    <row r="1404" spans="1:26" ht="12.75" customHeight="1" x14ac:dyDescent="0.25">
      <c r="A1404" s="184"/>
      <c r="B1404" s="38"/>
      <c r="C1404" s="38"/>
      <c r="D1404" s="38"/>
      <c r="E1404" s="38"/>
      <c r="F1404" s="185"/>
      <c r="G1404" s="186"/>
      <c r="H1404" s="37"/>
      <c r="I1404" s="37"/>
      <c r="J1404" s="37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</row>
    <row r="1405" spans="1:26" ht="12.75" customHeight="1" x14ac:dyDescent="0.25">
      <c r="A1405" s="184"/>
      <c r="B1405" s="38"/>
      <c r="C1405" s="38"/>
      <c r="D1405" s="38"/>
      <c r="E1405" s="38"/>
      <c r="F1405" s="185"/>
      <c r="G1405" s="186"/>
      <c r="H1405" s="37"/>
      <c r="I1405" s="37"/>
      <c r="J1405" s="37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</row>
    <row r="1406" spans="1:26" ht="12.75" customHeight="1" x14ac:dyDescent="0.25">
      <c r="A1406" s="184"/>
      <c r="B1406" s="38"/>
      <c r="C1406" s="38"/>
      <c r="D1406" s="38"/>
      <c r="E1406" s="38"/>
      <c r="F1406" s="185"/>
      <c r="G1406" s="186"/>
      <c r="H1406" s="37"/>
      <c r="I1406" s="37"/>
      <c r="J1406" s="37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</row>
    <row r="1407" spans="1:26" ht="12.75" customHeight="1" x14ac:dyDescent="0.25">
      <c r="A1407" s="184"/>
      <c r="B1407" s="38"/>
      <c r="C1407" s="38"/>
      <c r="D1407" s="38"/>
      <c r="E1407" s="38"/>
      <c r="F1407" s="185"/>
      <c r="G1407" s="186"/>
      <c r="H1407" s="37"/>
      <c r="I1407" s="37"/>
      <c r="J1407" s="37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</row>
    <row r="1408" spans="1:26" ht="12.75" customHeight="1" x14ac:dyDescent="0.25">
      <c r="A1408" s="184"/>
      <c r="B1408" s="38"/>
      <c r="C1408" s="38"/>
      <c r="D1408" s="38"/>
      <c r="E1408" s="38"/>
      <c r="F1408" s="185"/>
      <c r="G1408" s="186"/>
      <c r="H1408" s="37"/>
      <c r="I1408" s="37"/>
      <c r="J1408" s="37"/>
      <c r="K1408" s="38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</row>
    <row r="1409" spans="1:26" ht="12.75" customHeight="1" x14ac:dyDescent="0.25">
      <c r="A1409" s="184"/>
      <c r="B1409" s="38"/>
      <c r="C1409" s="38"/>
      <c r="D1409" s="38"/>
      <c r="E1409" s="38"/>
      <c r="F1409" s="185"/>
      <c r="G1409" s="186"/>
      <c r="H1409" s="37"/>
      <c r="I1409" s="37"/>
      <c r="J1409" s="37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</row>
    <row r="1410" spans="1:26" ht="12.75" customHeight="1" x14ac:dyDescent="0.25">
      <c r="A1410" s="184"/>
      <c r="B1410" s="38"/>
      <c r="C1410" s="38"/>
      <c r="D1410" s="38"/>
      <c r="E1410" s="38"/>
      <c r="F1410" s="185"/>
      <c r="G1410" s="186"/>
      <c r="H1410" s="37"/>
      <c r="I1410" s="37"/>
      <c r="J1410" s="37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</row>
    <row r="1411" spans="1:26" ht="12.75" customHeight="1" x14ac:dyDescent="0.25">
      <c r="A1411" s="184"/>
      <c r="B1411" s="38"/>
      <c r="C1411" s="38"/>
      <c r="D1411" s="38"/>
      <c r="E1411" s="38"/>
      <c r="F1411" s="185"/>
      <c r="G1411" s="186"/>
      <c r="H1411" s="37"/>
      <c r="I1411" s="37"/>
      <c r="J1411" s="37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</row>
    <row r="1412" spans="1:26" ht="12.75" customHeight="1" x14ac:dyDescent="0.25">
      <c r="A1412" s="184"/>
      <c r="B1412" s="38"/>
      <c r="C1412" s="38"/>
      <c r="D1412" s="38"/>
      <c r="E1412" s="38"/>
      <c r="F1412" s="185"/>
      <c r="G1412" s="186"/>
      <c r="H1412" s="37"/>
      <c r="I1412" s="37"/>
      <c r="J1412" s="37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</row>
    <row r="1413" spans="1:26" ht="12.75" customHeight="1" x14ac:dyDescent="0.25">
      <c r="A1413" s="184"/>
      <c r="B1413" s="38"/>
      <c r="C1413" s="38"/>
      <c r="D1413" s="38"/>
      <c r="E1413" s="38"/>
      <c r="F1413" s="185"/>
      <c r="G1413" s="186"/>
      <c r="H1413" s="37"/>
      <c r="I1413" s="37"/>
      <c r="J1413" s="37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</row>
    <row r="1414" spans="1:26" ht="12.75" customHeight="1" x14ac:dyDescent="0.25">
      <c r="A1414" s="184"/>
      <c r="B1414" s="38"/>
      <c r="C1414" s="38"/>
      <c r="D1414" s="38"/>
      <c r="E1414" s="38"/>
      <c r="F1414" s="185"/>
      <c r="G1414" s="186"/>
      <c r="H1414" s="37"/>
      <c r="I1414" s="37"/>
      <c r="J1414" s="37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</row>
    <row r="1415" spans="1:26" ht="12.75" customHeight="1" x14ac:dyDescent="0.25">
      <c r="A1415" s="184"/>
      <c r="B1415" s="38"/>
      <c r="C1415" s="38"/>
      <c r="D1415" s="38"/>
      <c r="E1415" s="38"/>
      <c r="F1415" s="185"/>
      <c r="G1415" s="186"/>
      <c r="H1415" s="37"/>
      <c r="I1415" s="37"/>
      <c r="J1415" s="37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</row>
    <row r="1416" spans="1:26" ht="12.75" customHeight="1" x14ac:dyDescent="0.25">
      <c r="A1416" s="184"/>
      <c r="B1416" s="38"/>
      <c r="C1416" s="38"/>
      <c r="D1416" s="38"/>
      <c r="E1416" s="38"/>
      <c r="F1416" s="185"/>
      <c r="G1416" s="186"/>
      <c r="H1416" s="37"/>
      <c r="I1416" s="37"/>
      <c r="J1416" s="37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</row>
    <row r="1417" spans="1:26" ht="12.75" customHeight="1" x14ac:dyDescent="0.25">
      <c r="A1417" s="184"/>
      <c r="B1417" s="38"/>
      <c r="C1417" s="38"/>
      <c r="D1417" s="38"/>
      <c r="E1417" s="38"/>
      <c r="F1417" s="185"/>
      <c r="G1417" s="186"/>
      <c r="H1417" s="37"/>
      <c r="I1417" s="37"/>
      <c r="J1417" s="37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</row>
    <row r="1418" spans="1:26" ht="12.75" customHeight="1" x14ac:dyDescent="0.25">
      <c r="A1418" s="184"/>
      <c r="B1418" s="38"/>
      <c r="C1418" s="38"/>
      <c r="D1418" s="38"/>
      <c r="E1418" s="38"/>
      <c r="F1418" s="185"/>
      <c r="G1418" s="186"/>
      <c r="H1418" s="37"/>
      <c r="I1418" s="37"/>
      <c r="J1418" s="37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</row>
    <row r="1419" spans="1:26" ht="12.75" customHeight="1" x14ac:dyDescent="0.25">
      <c r="A1419" s="184"/>
      <c r="B1419" s="38"/>
      <c r="C1419" s="38"/>
      <c r="D1419" s="38"/>
      <c r="E1419" s="38"/>
      <c r="F1419" s="185"/>
      <c r="G1419" s="186"/>
      <c r="H1419" s="37"/>
      <c r="I1419" s="37"/>
      <c r="J1419" s="37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</row>
    <row r="1420" spans="1:26" ht="12.75" customHeight="1" x14ac:dyDescent="0.25">
      <c r="A1420" s="184"/>
      <c r="B1420" s="38"/>
      <c r="C1420" s="38"/>
      <c r="D1420" s="38"/>
      <c r="E1420" s="38"/>
      <c r="F1420" s="185"/>
      <c r="G1420" s="186"/>
      <c r="H1420" s="37"/>
      <c r="I1420" s="37"/>
      <c r="J1420" s="37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</row>
    <row r="1421" spans="1:26" ht="12.75" customHeight="1" x14ac:dyDescent="0.25">
      <c r="A1421" s="184"/>
      <c r="B1421" s="38"/>
      <c r="C1421" s="38"/>
      <c r="D1421" s="38"/>
      <c r="E1421" s="38"/>
      <c r="F1421" s="185"/>
      <c r="G1421" s="186"/>
      <c r="H1421" s="37"/>
      <c r="I1421" s="37"/>
      <c r="J1421" s="37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</row>
    <row r="1422" spans="1:26" ht="12.75" customHeight="1" x14ac:dyDescent="0.25">
      <c r="A1422" s="184"/>
      <c r="B1422" s="38"/>
      <c r="C1422" s="38"/>
      <c r="D1422" s="38"/>
      <c r="E1422" s="38"/>
      <c r="F1422" s="185"/>
      <c r="G1422" s="186"/>
      <c r="H1422" s="37"/>
      <c r="I1422" s="37"/>
      <c r="J1422" s="37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</row>
    <row r="1423" spans="1:26" ht="12.75" customHeight="1" x14ac:dyDescent="0.25">
      <c r="A1423" s="184"/>
      <c r="B1423" s="38"/>
      <c r="C1423" s="38"/>
      <c r="D1423" s="38"/>
      <c r="E1423" s="38"/>
      <c r="F1423" s="185"/>
      <c r="G1423" s="186"/>
      <c r="H1423" s="37"/>
      <c r="I1423" s="37"/>
      <c r="J1423" s="37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</row>
    <row r="1424" spans="1:26" ht="12.75" customHeight="1" x14ac:dyDescent="0.25">
      <c r="A1424" s="184"/>
      <c r="B1424" s="38"/>
      <c r="C1424" s="38"/>
      <c r="D1424" s="38"/>
      <c r="E1424" s="38"/>
      <c r="F1424" s="185"/>
      <c r="G1424" s="186"/>
      <c r="H1424" s="37"/>
      <c r="I1424" s="37"/>
      <c r="J1424" s="37"/>
      <c r="K1424" s="38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</row>
    <row r="1425" spans="1:26" ht="12.75" customHeight="1" x14ac:dyDescent="0.25">
      <c r="A1425" s="184"/>
      <c r="B1425" s="38"/>
      <c r="C1425" s="38"/>
      <c r="D1425" s="38"/>
      <c r="E1425" s="38"/>
      <c r="F1425" s="185"/>
      <c r="G1425" s="186"/>
      <c r="H1425" s="37"/>
      <c r="I1425" s="37"/>
      <c r="J1425" s="37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</row>
    <row r="1426" spans="1:26" ht="12.75" customHeight="1" x14ac:dyDescent="0.25">
      <c r="A1426" s="184"/>
      <c r="B1426" s="38"/>
      <c r="C1426" s="38"/>
      <c r="D1426" s="38"/>
      <c r="E1426" s="38"/>
      <c r="F1426" s="185"/>
      <c r="G1426" s="186"/>
      <c r="H1426" s="37"/>
      <c r="I1426" s="37"/>
      <c r="J1426" s="37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</row>
    <row r="1427" spans="1:26" ht="12.75" customHeight="1" x14ac:dyDescent="0.25">
      <c r="A1427" s="184"/>
      <c r="B1427" s="38"/>
      <c r="C1427" s="38"/>
      <c r="D1427" s="38"/>
      <c r="E1427" s="38"/>
      <c r="F1427" s="185"/>
      <c r="G1427" s="186"/>
      <c r="H1427" s="37"/>
      <c r="I1427" s="37"/>
      <c r="J1427" s="37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</row>
    <row r="1428" spans="1:26" ht="12.75" customHeight="1" x14ac:dyDescent="0.25">
      <c r="A1428" s="184"/>
      <c r="B1428" s="38"/>
      <c r="C1428" s="38"/>
      <c r="D1428" s="38"/>
      <c r="E1428" s="38"/>
      <c r="F1428" s="185"/>
      <c r="G1428" s="186"/>
      <c r="H1428" s="37"/>
      <c r="I1428" s="37"/>
      <c r="J1428" s="37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</row>
    <row r="1429" spans="1:26" ht="12.75" customHeight="1" x14ac:dyDescent="0.25">
      <c r="A1429" s="184"/>
      <c r="B1429" s="38"/>
      <c r="C1429" s="38"/>
      <c r="D1429" s="38"/>
      <c r="E1429" s="38"/>
      <c r="F1429" s="185"/>
      <c r="G1429" s="186"/>
      <c r="H1429" s="37"/>
      <c r="I1429" s="37"/>
      <c r="J1429" s="37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</row>
    <row r="1430" spans="1:26" ht="12.75" customHeight="1" x14ac:dyDescent="0.25">
      <c r="A1430" s="184"/>
      <c r="B1430" s="38"/>
      <c r="C1430" s="38"/>
      <c r="D1430" s="38"/>
      <c r="E1430" s="38"/>
      <c r="F1430" s="185"/>
      <c r="G1430" s="186"/>
      <c r="H1430" s="37"/>
      <c r="I1430" s="37"/>
      <c r="J1430" s="37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</row>
    <row r="1431" spans="1:26" ht="12.75" customHeight="1" x14ac:dyDescent="0.25">
      <c r="A1431" s="184"/>
      <c r="B1431" s="38"/>
      <c r="C1431" s="38"/>
      <c r="D1431" s="38"/>
      <c r="E1431" s="38"/>
      <c r="F1431" s="185"/>
      <c r="G1431" s="186"/>
      <c r="H1431" s="37"/>
      <c r="I1431" s="37"/>
      <c r="J1431" s="37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</row>
    <row r="1432" spans="1:26" ht="12.75" customHeight="1" x14ac:dyDescent="0.25">
      <c r="A1432" s="184"/>
      <c r="B1432" s="38"/>
      <c r="C1432" s="38"/>
      <c r="D1432" s="38"/>
      <c r="E1432" s="38"/>
      <c r="F1432" s="185"/>
      <c r="G1432" s="186"/>
      <c r="H1432" s="37"/>
      <c r="I1432" s="37"/>
      <c r="J1432" s="37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</row>
    <row r="1433" spans="1:26" ht="12.75" customHeight="1" x14ac:dyDescent="0.25">
      <c r="A1433" s="184"/>
      <c r="B1433" s="38"/>
      <c r="C1433" s="38"/>
      <c r="D1433" s="38"/>
      <c r="E1433" s="38"/>
      <c r="F1433" s="185"/>
      <c r="G1433" s="186"/>
      <c r="H1433" s="37"/>
      <c r="I1433" s="37"/>
      <c r="J1433" s="37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</row>
    <row r="1434" spans="1:26" ht="12.75" customHeight="1" x14ac:dyDescent="0.25">
      <c r="A1434" s="184"/>
      <c r="B1434" s="38"/>
      <c r="C1434" s="38"/>
      <c r="D1434" s="38"/>
      <c r="E1434" s="38"/>
      <c r="F1434" s="185"/>
      <c r="G1434" s="186"/>
      <c r="H1434" s="37"/>
      <c r="I1434" s="37"/>
      <c r="J1434" s="37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</row>
    <row r="1435" spans="1:26" ht="12.75" customHeight="1" x14ac:dyDescent="0.25">
      <c r="A1435" s="184"/>
      <c r="B1435" s="38"/>
      <c r="C1435" s="38"/>
      <c r="D1435" s="38"/>
      <c r="E1435" s="38"/>
      <c r="F1435" s="185"/>
      <c r="G1435" s="186"/>
      <c r="H1435" s="37"/>
      <c r="I1435" s="37"/>
      <c r="J1435" s="37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</row>
    <row r="1436" spans="1:26" ht="12.75" customHeight="1" x14ac:dyDescent="0.25">
      <c r="A1436" s="184"/>
      <c r="B1436" s="38"/>
      <c r="C1436" s="38"/>
      <c r="D1436" s="38"/>
      <c r="E1436" s="38"/>
      <c r="F1436" s="185"/>
      <c r="G1436" s="186"/>
      <c r="H1436" s="37"/>
      <c r="I1436" s="37"/>
      <c r="J1436" s="37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</row>
    <row r="1437" spans="1:26" ht="12.75" customHeight="1" x14ac:dyDescent="0.25">
      <c r="A1437" s="184"/>
      <c r="B1437" s="38"/>
      <c r="C1437" s="38"/>
      <c r="D1437" s="38"/>
      <c r="E1437" s="38"/>
      <c r="F1437" s="185"/>
      <c r="G1437" s="186"/>
      <c r="H1437" s="37"/>
      <c r="I1437" s="37"/>
      <c r="J1437" s="37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</row>
    <row r="1438" spans="1:26" ht="12.75" customHeight="1" x14ac:dyDescent="0.25">
      <c r="A1438" s="184"/>
      <c r="B1438" s="38"/>
      <c r="C1438" s="38"/>
      <c r="D1438" s="38"/>
      <c r="E1438" s="38"/>
      <c r="F1438" s="185"/>
      <c r="G1438" s="186"/>
      <c r="H1438" s="37"/>
      <c r="I1438" s="37"/>
      <c r="J1438" s="37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</row>
    <row r="1439" spans="1:26" ht="12.75" customHeight="1" x14ac:dyDescent="0.25">
      <c r="A1439" s="184"/>
      <c r="B1439" s="38"/>
      <c r="C1439" s="38"/>
      <c r="D1439" s="38"/>
      <c r="E1439" s="38"/>
      <c r="F1439" s="185"/>
      <c r="G1439" s="186"/>
      <c r="H1439" s="37"/>
      <c r="I1439" s="37"/>
      <c r="J1439" s="37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</row>
    <row r="1440" spans="1:26" ht="12.75" customHeight="1" x14ac:dyDescent="0.25">
      <c r="A1440" s="184"/>
      <c r="B1440" s="38"/>
      <c r="C1440" s="38"/>
      <c r="D1440" s="38"/>
      <c r="E1440" s="38"/>
      <c r="F1440" s="185"/>
      <c r="G1440" s="186"/>
      <c r="H1440" s="37"/>
      <c r="I1440" s="37"/>
      <c r="J1440" s="37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</row>
    <row r="1441" spans="1:26" ht="12.75" customHeight="1" x14ac:dyDescent="0.25">
      <c r="A1441" s="184"/>
      <c r="B1441" s="38"/>
      <c r="C1441" s="38"/>
      <c r="D1441" s="38"/>
      <c r="E1441" s="38"/>
      <c r="F1441" s="185"/>
      <c r="G1441" s="186"/>
      <c r="H1441" s="37"/>
      <c r="I1441" s="37"/>
      <c r="J1441" s="37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</row>
    <row r="1442" spans="1:26" ht="12.75" customHeight="1" x14ac:dyDescent="0.25">
      <c r="A1442" s="184"/>
      <c r="B1442" s="38"/>
      <c r="C1442" s="38"/>
      <c r="D1442" s="38"/>
      <c r="E1442" s="38"/>
      <c r="F1442" s="185"/>
      <c r="G1442" s="186"/>
      <c r="H1442" s="37"/>
      <c r="I1442" s="37"/>
      <c r="J1442" s="37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</row>
    <row r="1443" spans="1:26" ht="12.75" customHeight="1" x14ac:dyDescent="0.25">
      <c r="A1443" s="184"/>
      <c r="B1443" s="38"/>
      <c r="C1443" s="38"/>
      <c r="D1443" s="38"/>
      <c r="E1443" s="38"/>
      <c r="F1443" s="185"/>
      <c r="G1443" s="186"/>
      <c r="H1443" s="37"/>
      <c r="I1443" s="37"/>
      <c r="J1443" s="37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</row>
    <row r="1444" spans="1:26" ht="12.75" customHeight="1" x14ac:dyDescent="0.25">
      <c r="A1444" s="184"/>
      <c r="B1444" s="38"/>
      <c r="C1444" s="38"/>
      <c r="D1444" s="38"/>
      <c r="E1444" s="38"/>
      <c r="F1444" s="185"/>
      <c r="G1444" s="186"/>
      <c r="H1444" s="37"/>
      <c r="I1444" s="37"/>
      <c r="J1444" s="37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</row>
    <row r="1445" spans="1:26" ht="12.75" customHeight="1" x14ac:dyDescent="0.25">
      <c r="A1445" s="184"/>
      <c r="B1445" s="38"/>
      <c r="C1445" s="38"/>
      <c r="D1445" s="38"/>
      <c r="E1445" s="38"/>
      <c r="F1445" s="185"/>
      <c r="G1445" s="186"/>
      <c r="H1445" s="37"/>
      <c r="I1445" s="37"/>
      <c r="J1445" s="37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</row>
    <row r="1446" spans="1:26" ht="12.75" customHeight="1" x14ac:dyDescent="0.25">
      <c r="A1446" s="184"/>
      <c r="B1446" s="38"/>
      <c r="C1446" s="38"/>
      <c r="D1446" s="38"/>
      <c r="E1446" s="38"/>
      <c r="F1446" s="185"/>
      <c r="G1446" s="186"/>
      <c r="H1446" s="37"/>
      <c r="I1446" s="37"/>
      <c r="J1446" s="37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</row>
    <row r="1447" spans="1:26" ht="12.75" customHeight="1" x14ac:dyDescent="0.25">
      <c r="A1447" s="184"/>
      <c r="B1447" s="38"/>
      <c r="C1447" s="38"/>
      <c r="D1447" s="38"/>
      <c r="E1447" s="38"/>
      <c r="F1447" s="185"/>
      <c r="G1447" s="186"/>
      <c r="H1447" s="37"/>
      <c r="I1447" s="37"/>
      <c r="J1447" s="37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</row>
    <row r="1448" spans="1:26" ht="12.75" customHeight="1" x14ac:dyDescent="0.25">
      <c r="A1448" s="184"/>
      <c r="B1448" s="38"/>
      <c r="C1448" s="38"/>
      <c r="D1448" s="38"/>
      <c r="E1448" s="38"/>
      <c r="F1448" s="185"/>
      <c r="G1448" s="186"/>
      <c r="H1448" s="37"/>
      <c r="I1448" s="37"/>
      <c r="J1448" s="37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</row>
    <row r="1449" spans="1:26" ht="12.75" customHeight="1" x14ac:dyDescent="0.25">
      <c r="A1449" s="184"/>
      <c r="B1449" s="38"/>
      <c r="C1449" s="38"/>
      <c r="D1449" s="38"/>
      <c r="E1449" s="38"/>
      <c r="F1449" s="185"/>
      <c r="G1449" s="186"/>
      <c r="H1449" s="37"/>
      <c r="I1449" s="37"/>
      <c r="J1449" s="37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</row>
    <row r="1450" spans="1:26" ht="12.75" customHeight="1" x14ac:dyDescent="0.25">
      <c r="A1450" s="184"/>
      <c r="B1450" s="38"/>
      <c r="C1450" s="38"/>
      <c r="D1450" s="38"/>
      <c r="E1450" s="38"/>
      <c r="F1450" s="185"/>
      <c r="G1450" s="186"/>
      <c r="H1450" s="37"/>
      <c r="I1450" s="37"/>
      <c r="J1450" s="37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</row>
    <row r="1451" spans="1:26" ht="12.75" customHeight="1" x14ac:dyDescent="0.25">
      <c r="A1451" s="184"/>
      <c r="B1451" s="38"/>
      <c r="C1451" s="38"/>
      <c r="D1451" s="38"/>
      <c r="E1451" s="38"/>
      <c r="F1451" s="185"/>
      <c r="G1451" s="186"/>
      <c r="H1451" s="37"/>
      <c r="I1451" s="37"/>
      <c r="J1451" s="37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</row>
    <row r="1452" spans="1:26" ht="12.75" customHeight="1" x14ac:dyDescent="0.25">
      <c r="A1452" s="184"/>
      <c r="B1452" s="38"/>
      <c r="C1452" s="38"/>
      <c r="D1452" s="38"/>
      <c r="E1452" s="38"/>
      <c r="F1452" s="185"/>
      <c r="G1452" s="186"/>
      <c r="H1452" s="37"/>
      <c r="I1452" s="37"/>
      <c r="J1452" s="37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</row>
    <row r="1453" spans="1:26" ht="12.75" customHeight="1" x14ac:dyDescent="0.25">
      <c r="A1453" s="184"/>
      <c r="B1453" s="38"/>
      <c r="C1453" s="38"/>
      <c r="D1453" s="38"/>
      <c r="E1453" s="38"/>
      <c r="F1453" s="185"/>
      <c r="G1453" s="186"/>
      <c r="H1453" s="37"/>
      <c r="I1453" s="37"/>
      <c r="J1453" s="37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</row>
    <row r="1454" spans="1:26" ht="12.75" customHeight="1" x14ac:dyDescent="0.25">
      <c r="A1454" s="184"/>
      <c r="B1454" s="38"/>
      <c r="C1454" s="38"/>
      <c r="D1454" s="38"/>
      <c r="E1454" s="38"/>
      <c r="F1454" s="185"/>
      <c r="G1454" s="186"/>
      <c r="H1454" s="37"/>
      <c r="I1454" s="37"/>
      <c r="J1454" s="37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</row>
  </sheetData>
  <sheetProtection algorithmName="SHA-512" hashValue="91/gqdCCCRC8JHja0qGhikdPqo9JeF7zmdGmjzNdkMd7M7JlmeJgPjrMp7xSD0g1K0tXvJ1+35We8Uc4LJMPZw==" saltValue="mJwpAqe0LI23L01vaefujQ==" spinCount="100000" sheet="1" objects="1" scenarios="1"/>
  <mergeCells count="1">
    <mergeCell ref="A1:G1"/>
  </mergeCells>
  <pageMargins left="0.74803149606299213" right="0.74803149606299213" top="0.98425196850393704" bottom="0.98425196850393704" header="0" footer="0"/>
  <pageSetup scale="85" orientation="landscape"/>
  <ignoredErrors>
    <ignoredError sqref="F581 G572 G546 G697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Z24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465" t="s">
        <v>865</v>
      </c>
      <c r="C2" s="431"/>
      <c r="D2" s="431"/>
      <c r="E2" s="431"/>
      <c r="F2" s="431"/>
      <c r="G2" s="431"/>
      <c r="H2" s="431"/>
      <c r="I2" s="431"/>
      <c r="J2" s="431"/>
    </row>
    <row r="3" spans="2:15" x14ac:dyDescent="0.25">
      <c r="L3" s="1"/>
      <c r="N3" s="1"/>
    </row>
    <row r="4" spans="2:15" x14ac:dyDescent="0.25">
      <c r="B4" s="461" t="s">
        <v>0</v>
      </c>
      <c r="C4" s="466" t="s">
        <v>1</v>
      </c>
      <c r="D4" s="460"/>
      <c r="E4" s="467" t="s">
        <v>2</v>
      </c>
      <c r="F4" s="460"/>
      <c r="G4" s="464" t="s">
        <v>3</v>
      </c>
      <c r="H4" s="459"/>
      <c r="I4" s="460"/>
      <c r="J4" s="468" t="s">
        <v>4</v>
      </c>
      <c r="L4" s="1"/>
      <c r="N4" s="1"/>
    </row>
    <row r="5" spans="2:15" ht="33.75" customHeight="1" x14ac:dyDescent="0.25">
      <c r="B5" s="462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69"/>
      <c r="L5" s="1"/>
      <c r="N5" s="1"/>
    </row>
    <row r="6" spans="2:15" x14ac:dyDescent="0.25">
      <c r="B6" s="9" t="s">
        <v>10</v>
      </c>
      <c r="C6" s="10">
        <f>+'CALCULO TARIFAS CC '!$M$22</f>
        <v>2053974</v>
      </c>
      <c r="D6" s="11">
        <f>+'CALCULO TARIFAS CC '!N37</f>
        <v>165946.95999999996</v>
      </c>
      <c r="E6" s="12">
        <f>+'CALCULO TARIFAS CC '!T5</f>
        <v>3876380.8847877262</v>
      </c>
      <c r="F6" s="13">
        <f>+'CALCULO TARIFAS CC '!N5</f>
        <v>814805.72888772609</v>
      </c>
      <c r="G6" s="14">
        <f>'CALCULO TARIFAS CC '!P43</f>
        <v>0.52986898373699864</v>
      </c>
      <c r="H6" s="15">
        <f>+'CALCULO TARIFAS CC '!P44</f>
        <v>0.20366444922586716</v>
      </c>
      <c r="I6" s="14">
        <f>+'CALCULO TARIFAS CC '!P45</f>
        <v>0.73353343296286577</v>
      </c>
      <c r="J6" s="16">
        <f>+'CALCULO CC AGENTES'!G751</f>
        <v>597687.19999999995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'!$M$22</f>
        <v>2053974</v>
      </c>
      <c r="D7" s="11">
        <f>+'CALCULO TARIFAS CC '!O37</f>
        <v>390027.39000000007</v>
      </c>
      <c r="E7" s="12">
        <f>+'CALCULO TARIFAS CC '!T5</f>
        <v>3876380.8847877262</v>
      </c>
      <c r="F7" s="13">
        <f>+'CALCULO TARIFAS CC '!O5</f>
        <v>441737.48060000001</v>
      </c>
      <c r="G7" s="14">
        <f>+'CALCULO TARIFAS CC '!Q43</f>
        <v>0.52986898373699864</v>
      </c>
      <c r="H7" s="15">
        <f>+'CALCULO TARIFAS CC '!Q44</f>
        <v>0.8829393183259806</v>
      </c>
      <c r="I7" s="14">
        <f>+'CALCULO TARIFAS CC '!Q45</f>
        <v>1.4128083020629791</v>
      </c>
      <c r="J7" s="16">
        <f>+'CALCULO CC AGENTES'!G752</f>
        <v>624090.36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'!$M$22</f>
        <v>2053974</v>
      </c>
      <c r="D8" s="11">
        <f>+'CALCULO TARIFAS CC '!P37</f>
        <v>0</v>
      </c>
      <c r="E8" s="12">
        <f>+'CALCULO TARIFAS CC '!T5</f>
        <v>3876380.8847877262</v>
      </c>
      <c r="F8" s="13">
        <f>+'CALCULO TARIFAS CC '!P5</f>
        <v>742366.7182</v>
      </c>
      <c r="G8" s="14">
        <f>+'CALCULO TARIFAS CC '!R43</f>
        <v>0.52986898373699864</v>
      </c>
      <c r="H8" s="15">
        <f>+'CALCULO TARIFAS CC '!R44</f>
        <v>0</v>
      </c>
      <c r="I8" s="14">
        <f>+'CALCULO TARIFAS CC '!R45</f>
        <v>0.52986898373699864</v>
      </c>
      <c r="J8" s="16">
        <f>+'CALCULO CC AGENTES'!G753</f>
        <v>393357.1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'!$M$22</f>
        <v>2053974</v>
      </c>
      <c r="D9" s="11">
        <f>+'CALCULO TARIFAS CC '!Q37</f>
        <v>100606.62</v>
      </c>
      <c r="E9" s="12">
        <f>+'CALCULO TARIFAS CC '!T5</f>
        <v>3876380.8847877262</v>
      </c>
      <c r="F9" s="13">
        <f>+'CALCULO TARIFAS CC '!Q5</f>
        <v>358588.84700000001</v>
      </c>
      <c r="G9" s="14">
        <f>+'CALCULO TARIFAS CC '!S43</f>
        <v>0.52986898373699864</v>
      </c>
      <c r="H9" s="15">
        <f>+'CALCULO TARIFAS CC '!S44</f>
        <v>0.28056260210457684</v>
      </c>
      <c r="I9" s="14">
        <f>+'CALCULO TARIFAS CC '!S45</f>
        <v>0.81043158584157549</v>
      </c>
      <c r="J9" s="16">
        <f>+'CALCULO CC AGENTES'!G754</f>
        <v>290611.73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'!$M$22</f>
        <v>2053974</v>
      </c>
      <c r="D10" s="11">
        <f>+'CALCULO TARIFAS CC '!R37</f>
        <v>915300.03000000014</v>
      </c>
      <c r="E10" s="12">
        <f>+'CALCULO TARIFAS CC '!T5</f>
        <v>3876380.8847877262</v>
      </c>
      <c r="F10" s="13">
        <f>+'CALCULO TARIFAS CC '!R5</f>
        <v>781326.03</v>
      </c>
      <c r="G10" s="14">
        <f>+'CALCULO TARIFAS CC '!T43</f>
        <v>0.52986898373699864</v>
      </c>
      <c r="H10" s="15">
        <f>+'CALCULO TARIFAS CC '!T44</f>
        <v>1.171470032810759</v>
      </c>
      <c r="I10" s="14">
        <f>+'CALCULO TARIFAS CC '!T45</f>
        <v>1.7013390165477578</v>
      </c>
      <c r="J10" s="16">
        <f>+'CALCULO CC AGENTES'!G755</f>
        <v>1329300.46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'!$M$22</f>
        <v>2053974</v>
      </c>
      <c r="D11" s="11">
        <f>+'CALCULO TARIFAS CC '!S37</f>
        <v>216840.84000000003</v>
      </c>
      <c r="E11" s="12">
        <f>+'CALCULO TARIFAS CC '!T5</f>
        <v>3876380.8847877262</v>
      </c>
      <c r="F11" s="13">
        <f>+'CALCULO TARIFAS CC '!S5</f>
        <v>737556.08010000002</v>
      </c>
      <c r="G11" s="14">
        <f>+'CALCULO TARIFAS CC '!U43</f>
        <v>0.52986898373699864</v>
      </c>
      <c r="H11" s="15">
        <f>+'CALCULO TARIFAS CC '!U44</f>
        <v>0.29399912203367656</v>
      </c>
      <c r="I11" s="14">
        <f>+'CALCULO TARIFAS CC '!U45</f>
        <v>0.82386810577067515</v>
      </c>
      <c r="J11" s="16">
        <f>+'CALCULO CC AGENTES'!G756</f>
        <v>607648.99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'!$M$22</f>
        <v>2053974</v>
      </c>
      <c r="D12" s="22">
        <f>SUM(D6:D11)</f>
        <v>1788721.8400000003</v>
      </c>
      <c r="E12" s="23">
        <f>+'CALCULO TARIFAS CC '!T5</f>
        <v>3876380.8847877262</v>
      </c>
      <c r="F12" s="23">
        <f>SUM(F6:F11)</f>
        <v>3876380.8847877262</v>
      </c>
      <c r="G12" s="24">
        <f t="shared" ref="G12:H12" si="0">+C12/E12</f>
        <v>0.52986898373699864</v>
      </c>
      <c r="H12" s="25">
        <f t="shared" si="0"/>
        <v>0.46144119815975004</v>
      </c>
      <c r="I12" s="25">
        <f>+H12+G12</f>
        <v>0.99131018189674869</v>
      </c>
      <c r="J12" s="26">
        <f>SUM(J6:J11)</f>
        <v>3842695.84</v>
      </c>
      <c r="K12" s="1"/>
      <c r="O12" s="19"/>
    </row>
    <row r="16" spans="2:15" x14ac:dyDescent="0.25">
      <c r="B16" s="458" t="s">
        <v>341</v>
      </c>
      <c r="C16" s="459"/>
      <c r="D16" s="459"/>
      <c r="E16" s="459"/>
      <c r="F16" s="459"/>
      <c r="G16" s="459"/>
      <c r="H16" s="459"/>
      <c r="I16" s="460"/>
      <c r="J16" s="26">
        <f>ROUND('CALCULO TARIFAS CC '!G38-'CALCULO TARIFAS CC '!F38,2)</f>
        <v>5317923.33</v>
      </c>
      <c r="K16" s="1"/>
      <c r="L16" s="19"/>
      <c r="N16" s="19"/>
    </row>
    <row r="17" spans="1:26" x14ac:dyDescent="0.25">
      <c r="B17" s="458" t="s">
        <v>782</v>
      </c>
      <c r="C17" s="459"/>
      <c r="D17" s="459"/>
      <c r="E17" s="459"/>
      <c r="F17" s="459"/>
      <c r="G17" s="459"/>
      <c r="H17" s="459"/>
      <c r="I17" s="460"/>
      <c r="J17" s="26">
        <f>'CALCULO TARIFAS CC '!H23</f>
        <v>11998803.289999999</v>
      </c>
      <c r="L17" s="19"/>
      <c r="N17" s="19"/>
    </row>
    <row r="18" spans="1:26" x14ac:dyDescent="0.25">
      <c r="A18" s="27"/>
      <c r="B18" s="458" t="s">
        <v>342</v>
      </c>
      <c r="C18" s="459"/>
      <c r="D18" s="459"/>
      <c r="E18" s="459"/>
      <c r="F18" s="459"/>
      <c r="G18" s="459"/>
      <c r="H18" s="459"/>
      <c r="I18" s="460"/>
      <c r="J18" s="26">
        <f>'CALCULO TARIFAS CC '!J23</f>
        <v>8999102.4700000007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463" t="s">
        <v>343</v>
      </c>
      <c r="C19" s="459"/>
      <c r="D19" s="459"/>
      <c r="E19" s="459"/>
      <c r="F19" s="459"/>
      <c r="G19" s="459"/>
      <c r="H19" s="459"/>
      <c r="I19" s="460"/>
      <c r="J19" s="26">
        <f>'CALCULO TARIFAS CC '!K23</f>
        <v>1499850.41</v>
      </c>
      <c r="L19" s="19"/>
      <c r="N19" s="27"/>
    </row>
    <row r="20" spans="1:26" ht="5.25" customHeight="1" x14ac:dyDescent="0.25">
      <c r="N20" s="27"/>
    </row>
    <row r="21" spans="1:26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30"/>
      <c r="J21" s="26">
        <f>ROUND(J16-J19,2)</f>
        <v>3818072.92</v>
      </c>
      <c r="K21" s="19"/>
      <c r="L21" s="19"/>
      <c r="M21" s="27"/>
      <c r="N21" s="27"/>
      <c r="O21" s="27"/>
      <c r="P21" s="1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N22" s="27"/>
    </row>
    <row r="23" spans="1:26" x14ac:dyDescent="0.25">
      <c r="J23" s="19"/>
      <c r="N23" s="27"/>
    </row>
    <row r="24" spans="1:26" x14ac:dyDescent="0.25">
      <c r="N24" s="27"/>
    </row>
  </sheetData>
  <mergeCells count="10"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287"/>
  <sheetViews>
    <sheetView workbookViewId="0">
      <selection activeCell="D1" sqref="D1"/>
    </sheetView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20" width="11.42578125" customWidth="1"/>
  </cols>
  <sheetData>
    <row r="1" spans="1:20" ht="23.25" customHeight="1" x14ac:dyDescent="0.25">
      <c r="A1" s="31" t="s">
        <v>0</v>
      </c>
      <c r="B1" s="32" t="s">
        <v>18</v>
      </c>
      <c r="C1" s="33" t="s">
        <v>2</v>
      </c>
      <c r="D1" s="34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x14ac:dyDescent="0.25">
      <c r="A2" s="378" t="s">
        <v>10</v>
      </c>
      <c r="B2" s="378" t="s">
        <v>178</v>
      </c>
      <c r="C2" s="380">
        <v>4.5717866803524441E-3</v>
      </c>
      <c r="D2" s="379">
        <v>2732.5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78" t="s">
        <v>10</v>
      </c>
      <c r="B3" s="378" t="s">
        <v>179</v>
      </c>
      <c r="C3" s="380">
        <v>1.3043185342800433E-2</v>
      </c>
      <c r="D3" s="379">
        <v>7795.75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372" customFormat="1" x14ac:dyDescent="0.25">
      <c r="A4" s="378" t="s">
        <v>10</v>
      </c>
      <c r="B4" s="378" t="s">
        <v>180</v>
      </c>
      <c r="C4" s="380">
        <v>1.3523931047269729E-2</v>
      </c>
      <c r="D4" s="379">
        <v>8083.08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372" customFormat="1" x14ac:dyDescent="0.25">
      <c r="A5" s="378" t="s">
        <v>10</v>
      </c>
      <c r="B5" s="378" t="s">
        <v>181</v>
      </c>
      <c r="C5" s="380">
        <v>6.3125205552583497E-2</v>
      </c>
      <c r="D5" s="379">
        <v>37729.129999999997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372" customFormat="1" x14ac:dyDescent="0.25">
      <c r="A6" s="378" t="s">
        <v>10</v>
      </c>
      <c r="B6" s="378" t="s">
        <v>182</v>
      </c>
      <c r="C6" s="380">
        <v>5.3186059601269186E-3</v>
      </c>
      <c r="D6" s="379">
        <v>3178.86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372" customFormat="1" x14ac:dyDescent="0.25">
      <c r="A7" s="378" t="s">
        <v>10</v>
      </c>
      <c r="B7" s="378" t="s">
        <v>183</v>
      </c>
      <c r="C7" s="380">
        <v>1.4537548606506813E-2</v>
      </c>
      <c r="D7" s="379">
        <v>8688.91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s="372" customFormat="1" x14ac:dyDescent="0.25">
      <c r="A8" s="378" t="s">
        <v>10</v>
      </c>
      <c r="B8" s="378" t="s">
        <v>184</v>
      </c>
      <c r="C8" s="380">
        <v>9.6682917084461376E-3</v>
      </c>
      <c r="D8" s="379">
        <v>5778.61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372" customFormat="1" x14ac:dyDescent="0.25">
      <c r="A9" s="378" t="s">
        <v>10</v>
      </c>
      <c r="B9" s="378" t="s">
        <v>185</v>
      </c>
      <c r="C9" s="380">
        <v>2.2696607593016466E-2</v>
      </c>
      <c r="D9" s="379">
        <v>13565.47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372" customFormat="1" x14ac:dyDescent="0.25">
      <c r="A10" s="378" t="s">
        <v>10</v>
      </c>
      <c r="B10" s="378" t="s">
        <v>186</v>
      </c>
      <c r="C10" s="380">
        <v>6.3874959156056859E-3</v>
      </c>
      <c r="D10" s="379">
        <v>3817.72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s="372" customFormat="1" x14ac:dyDescent="0.25">
      <c r="A11" s="378" t="s">
        <v>10</v>
      </c>
      <c r="B11" s="378" t="s">
        <v>187</v>
      </c>
      <c r="C11" s="380">
        <v>2.8284543386731874E-2</v>
      </c>
      <c r="D11" s="379">
        <v>16905.310000000001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372" customFormat="1" x14ac:dyDescent="0.25">
      <c r="A12" s="378" t="s">
        <v>10</v>
      </c>
      <c r="B12" s="378" t="s">
        <v>188</v>
      </c>
      <c r="C12" s="380">
        <v>5.6113451987376984E-3</v>
      </c>
      <c r="D12" s="379">
        <v>3353.83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372" customFormat="1" x14ac:dyDescent="0.25">
      <c r="A13" s="378" t="s">
        <v>10</v>
      </c>
      <c r="B13" s="378" t="s">
        <v>189</v>
      </c>
      <c r="C13" s="380">
        <v>5.395340097684111E-3</v>
      </c>
      <c r="D13" s="379">
        <v>3224.73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372" customFormat="1" x14ac:dyDescent="0.25">
      <c r="A14" s="378" t="s">
        <v>10</v>
      </c>
      <c r="B14" s="378" t="s">
        <v>359</v>
      </c>
      <c r="C14" s="380">
        <v>6.9042611536378058E-6</v>
      </c>
      <c r="D14" s="379">
        <v>4.13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372" customFormat="1" x14ac:dyDescent="0.25">
      <c r="A15" s="378" t="s">
        <v>10</v>
      </c>
      <c r="B15" s="378" t="s">
        <v>190</v>
      </c>
      <c r="C15" s="380">
        <v>3.60944734218702E-2</v>
      </c>
      <c r="D15" s="379">
        <v>21573.21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s="372" customFormat="1" x14ac:dyDescent="0.25">
      <c r="A16" s="378" t="s">
        <v>10</v>
      </c>
      <c r="B16" s="378" t="s">
        <v>191</v>
      </c>
      <c r="C16" s="380">
        <v>9.0779596401494682E-3</v>
      </c>
      <c r="D16" s="379">
        <v>5425.78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s="372" customFormat="1" x14ac:dyDescent="0.25">
      <c r="A17" s="378" t="s">
        <v>10</v>
      </c>
      <c r="B17" s="378" t="s">
        <v>192</v>
      </c>
      <c r="C17" s="380">
        <v>1.0622127271368404E-2</v>
      </c>
      <c r="D17" s="379">
        <v>6348.71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s="372" customFormat="1" x14ac:dyDescent="0.25">
      <c r="A18" s="378" t="s">
        <v>10</v>
      </c>
      <c r="B18" s="378" t="s">
        <v>193</v>
      </c>
      <c r="C18" s="380">
        <v>4.5264511135918667E-3</v>
      </c>
      <c r="D18" s="379">
        <v>2705.4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s="372" customFormat="1" x14ac:dyDescent="0.25">
      <c r="A19" s="378" t="s">
        <v>10</v>
      </c>
      <c r="B19" s="378" t="s">
        <v>194</v>
      </c>
      <c r="C19" s="380">
        <v>0.16688262686227284</v>
      </c>
      <c r="D19" s="379">
        <v>99743.61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s="372" customFormat="1" x14ac:dyDescent="0.25">
      <c r="A20" s="378" t="s">
        <v>10</v>
      </c>
      <c r="B20" s="378" t="s">
        <v>195</v>
      </c>
      <c r="C20" s="380">
        <v>0.14483708980300183</v>
      </c>
      <c r="D20" s="379">
        <v>86567.27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72" customFormat="1" x14ac:dyDescent="0.25">
      <c r="A21" s="378" t="s">
        <v>10</v>
      </c>
      <c r="B21" s="378" t="s">
        <v>196</v>
      </c>
      <c r="C21" s="380">
        <v>0.34796397224190995</v>
      </c>
      <c r="D21" s="379">
        <v>207973.61000000002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s="372" customFormat="1" x14ac:dyDescent="0.25">
      <c r="A22" s="378" t="s">
        <v>10</v>
      </c>
      <c r="B22" s="378" t="s">
        <v>197</v>
      </c>
      <c r="C22" s="380">
        <v>8.9035311984129138E-4</v>
      </c>
      <c r="D22" s="379">
        <v>532.15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372" customFormat="1" x14ac:dyDescent="0.25">
      <c r="A23" s="378" t="s">
        <v>10</v>
      </c>
      <c r="B23" s="378" t="s">
        <v>198</v>
      </c>
      <c r="C23" s="380">
        <v>1.126651429443253E-6</v>
      </c>
      <c r="D23" s="379">
        <v>0.67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s="372" customFormat="1" x14ac:dyDescent="0.25">
      <c r="A24" s="378" t="s">
        <v>10</v>
      </c>
      <c r="B24" s="378" t="s">
        <v>199</v>
      </c>
      <c r="C24" s="380">
        <v>6.9008399458460073E-8</v>
      </c>
      <c r="D24" s="379">
        <v>0.04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72" customFormat="1" x14ac:dyDescent="0.25">
      <c r="A25" s="378" t="s">
        <v>10</v>
      </c>
      <c r="B25" s="378" t="s">
        <v>426</v>
      </c>
      <c r="C25" s="380">
        <v>2.1785148431850349E-6</v>
      </c>
      <c r="D25" s="379">
        <v>1.3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s="372" customFormat="1" x14ac:dyDescent="0.25">
      <c r="A26" s="378" t="s">
        <v>10</v>
      </c>
      <c r="B26" s="378" t="s">
        <v>200</v>
      </c>
      <c r="C26" s="380">
        <v>5.0330933061682472E-7</v>
      </c>
      <c r="D26" s="379">
        <v>0.3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72" customFormat="1" x14ac:dyDescent="0.25">
      <c r="A27" s="378" t="s">
        <v>10</v>
      </c>
      <c r="B27" s="378" t="s">
        <v>201</v>
      </c>
      <c r="C27" s="380">
        <v>2.8348346172819624E-7</v>
      </c>
      <c r="D27" s="379">
        <v>0.17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s="372" customFormat="1" x14ac:dyDescent="0.25">
      <c r="A28" s="378" t="s">
        <v>10</v>
      </c>
      <c r="B28" s="378" t="s">
        <v>202</v>
      </c>
      <c r="C28" s="380">
        <v>1.7537212554793727E-5</v>
      </c>
      <c r="D28" s="379">
        <v>10.48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372" customFormat="1" x14ac:dyDescent="0.25">
      <c r="A29" s="378" t="s">
        <v>10</v>
      </c>
      <c r="B29" s="378" t="s">
        <v>203</v>
      </c>
      <c r="C29" s="380">
        <v>3.6027767573589267E-7</v>
      </c>
      <c r="D29" s="379">
        <v>0.22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372" customFormat="1" x14ac:dyDescent="0.25">
      <c r="A30" s="378" t="s">
        <v>10</v>
      </c>
      <c r="B30" s="378" t="s">
        <v>204</v>
      </c>
      <c r="C30" s="380">
        <v>2.6242843841189414E-8</v>
      </c>
      <c r="D30" s="379">
        <v>0.02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s="372" customFormat="1" x14ac:dyDescent="0.25">
      <c r="A31" s="378" t="s">
        <v>10</v>
      </c>
      <c r="B31" s="378" t="s">
        <v>205</v>
      </c>
      <c r="C31" s="380">
        <v>8.9043649783872172E-8</v>
      </c>
      <c r="D31" s="379">
        <v>0.05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s="372" customFormat="1" x14ac:dyDescent="0.25">
      <c r="A32" s="378" t="s">
        <v>10</v>
      </c>
      <c r="B32" s="378" t="s">
        <v>206</v>
      </c>
      <c r="C32" s="380">
        <v>5.384644199635163E-8</v>
      </c>
      <c r="D32" s="379">
        <v>0.03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372" customFormat="1" x14ac:dyDescent="0.25">
      <c r="A33" s="378" t="s">
        <v>10</v>
      </c>
      <c r="B33" s="378" t="s">
        <v>759</v>
      </c>
      <c r="C33" s="380">
        <v>7.5301113391371739E-8</v>
      </c>
      <c r="D33" s="379">
        <v>0.05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372" customFormat="1" x14ac:dyDescent="0.25">
      <c r="A34" s="378" t="s">
        <v>10</v>
      </c>
      <c r="B34" s="378" t="s">
        <v>207</v>
      </c>
      <c r="C34" s="380">
        <v>1.6328344939292605E-7</v>
      </c>
      <c r="D34" s="379">
        <v>0.1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378" t="s">
        <v>10</v>
      </c>
      <c r="B35" s="378" t="s">
        <v>208</v>
      </c>
      <c r="C35" s="380">
        <v>3.753197770406121E-6</v>
      </c>
      <c r="D35" s="379">
        <v>2.2400000000000002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x14ac:dyDescent="0.25">
      <c r="A36" s="378" t="s">
        <v>10</v>
      </c>
      <c r="B36" s="378" t="s">
        <v>209</v>
      </c>
      <c r="C36" s="380">
        <v>1.7784563738156972E-6</v>
      </c>
      <c r="D36" s="379">
        <v>1.06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x14ac:dyDescent="0.25">
      <c r="A37" s="378" t="s">
        <v>10</v>
      </c>
      <c r="B37" s="378" t="s">
        <v>210</v>
      </c>
      <c r="C37" s="380">
        <v>4.1252831982681748E-8</v>
      </c>
      <c r="D37" s="379">
        <v>0.02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s="285" customFormat="1" x14ac:dyDescent="0.25">
      <c r="A38" s="378" t="s">
        <v>10</v>
      </c>
      <c r="B38" s="378" t="s">
        <v>211</v>
      </c>
      <c r="C38" s="380">
        <v>4.9864456443452229E-6</v>
      </c>
      <c r="D38" s="379">
        <v>2.98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285" customFormat="1" x14ac:dyDescent="0.25">
      <c r="A39" s="378" t="s">
        <v>10</v>
      </c>
      <c r="B39" s="378" t="s">
        <v>212</v>
      </c>
      <c r="C39" s="380">
        <v>2.9700129128498213E-8</v>
      </c>
      <c r="D39" s="379">
        <v>0.02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285" customFormat="1" x14ac:dyDescent="0.25">
      <c r="A40" s="378" t="s">
        <v>10</v>
      </c>
      <c r="B40" s="378" t="s">
        <v>213</v>
      </c>
      <c r="C40" s="380">
        <v>3.0133154130841694E-8</v>
      </c>
      <c r="D40" s="379">
        <v>0.02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285" customFormat="1" x14ac:dyDescent="0.25">
      <c r="A41" s="378" t="s">
        <v>10</v>
      </c>
      <c r="B41" s="378" t="s">
        <v>214</v>
      </c>
      <c r="C41" s="380">
        <v>2.1368092230347395E-6</v>
      </c>
      <c r="D41" s="379">
        <v>1.28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285" customFormat="1" x14ac:dyDescent="0.25">
      <c r="A42" s="378" t="s">
        <v>10</v>
      </c>
      <c r="B42" s="378" t="s">
        <v>760</v>
      </c>
      <c r="C42" s="380">
        <v>9.9777600420094098E-7</v>
      </c>
      <c r="D42" s="379">
        <v>0.6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s="285" customFormat="1" x14ac:dyDescent="0.25">
      <c r="A43" s="378" t="s">
        <v>10</v>
      </c>
      <c r="B43" s="378" t="s">
        <v>215</v>
      </c>
      <c r="C43" s="380">
        <v>9.7656998771839025E-6</v>
      </c>
      <c r="D43" s="379">
        <v>5.84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285" customFormat="1" x14ac:dyDescent="0.25">
      <c r="A44" s="378" t="s">
        <v>10</v>
      </c>
      <c r="B44" s="378" t="s">
        <v>216</v>
      </c>
      <c r="C44" s="380">
        <v>3.2010088150191E-6</v>
      </c>
      <c r="D44" s="379">
        <v>1.91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285" customFormat="1" x14ac:dyDescent="0.25">
      <c r="A45" s="378" t="s">
        <v>10</v>
      </c>
      <c r="B45" s="378" t="s">
        <v>421</v>
      </c>
      <c r="C45" s="380">
        <v>4.7437324397091786E-7</v>
      </c>
      <c r="D45" s="379">
        <v>0.28000000000000003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285" customFormat="1" x14ac:dyDescent="0.25">
      <c r="A46" s="378" t="s">
        <v>10</v>
      </c>
      <c r="B46" s="378" t="s">
        <v>482</v>
      </c>
      <c r="C46" s="380">
        <v>1.5495676732909718E-6</v>
      </c>
      <c r="D46" s="379">
        <v>0.93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285" customFormat="1" x14ac:dyDescent="0.25">
      <c r="A47" s="378" t="s">
        <v>10</v>
      </c>
      <c r="B47" s="378" t="s">
        <v>217</v>
      </c>
      <c r="C47" s="380">
        <v>9.3746843178583379E-9</v>
      </c>
      <c r="D47" s="379">
        <v>0.01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285" customFormat="1" x14ac:dyDescent="0.25">
      <c r="A48" s="378" t="s">
        <v>10</v>
      </c>
      <c r="B48" s="378" t="s">
        <v>218</v>
      </c>
      <c r="C48" s="380">
        <v>3.1840855813781801E-6</v>
      </c>
      <c r="D48" s="379">
        <v>1.9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06" customFormat="1" x14ac:dyDescent="0.25">
      <c r="A49" s="378" t="s">
        <v>10</v>
      </c>
      <c r="B49" s="378" t="s">
        <v>219</v>
      </c>
      <c r="C49" s="380">
        <v>3.2340189190882579E-6</v>
      </c>
      <c r="D49" s="379">
        <v>1.93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s="306" customFormat="1" x14ac:dyDescent="0.25">
      <c r="A50" s="378" t="s">
        <v>10</v>
      </c>
      <c r="B50" s="378" t="s">
        <v>220</v>
      </c>
      <c r="C50" s="380">
        <v>1.4457059392710883E-6</v>
      </c>
      <c r="D50" s="379">
        <v>0.86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s="306" customFormat="1" x14ac:dyDescent="0.25">
      <c r="A51" s="378" t="s">
        <v>10</v>
      </c>
      <c r="B51" s="378" t="s">
        <v>221</v>
      </c>
      <c r="C51" s="380">
        <v>9.9924603661997774E-7</v>
      </c>
      <c r="D51" s="379">
        <v>0.6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s="306" customFormat="1" x14ac:dyDescent="0.25">
      <c r="A52" s="378" t="s">
        <v>10</v>
      </c>
      <c r="B52" s="378" t="s">
        <v>222</v>
      </c>
      <c r="C52" s="380">
        <v>5.7767266310951928E-7</v>
      </c>
      <c r="D52" s="379">
        <v>0.35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06" customFormat="1" x14ac:dyDescent="0.25">
      <c r="A53" s="378" t="s">
        <v>10</v>
      </c>
      <c r="B53" s="378" t="s">
        <v>450</v>
      </c>
      <c r="C53" s="380">
        <v>8.2597435881298387E-7</v>
      </c>
      <c r="D53" s="379">
        <v>0.49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306" customFormat="1" x14ac:dyDescent="0.25">
      <c r="A54" s="378" t="s">
        <v>10</v>
      </c>
      <c r="B54" s="378" t="s">
        <v>223</v>
      </c>
      <c r="C54" s="380">
        <v>5.0278051818213963E-8</v>
      </c>
      <c r="D54" s="379">
        <v>0.03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s="306" customFormat="1" x14ac:dyDescent="0.25">
      <c r="A55" s="378" t="s">
        <v>10</v>
      </c>
      <c r="B55" s="378" t="s">
        <v>224</v>
      </c>
      <c r="C55" s="380">
        <v>1.5034909935275869E-6</v>
      </c>
      <c r="D55" s="379">
        <v>0.9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306" customFormat="1" x14ac:dyDescent="0.25">
      <c r="A56" s="378" t="s">
        <v>10</v>
      </c>
      <c r="B56" s="378" t="s">
        <v>225</v>
      </c>
      <c r="C56" s="380">
        <v>2.0957522434471159E-9</v>
      </c>
      <c r="D56" s="379">
        <v>0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s="306" customFormat="1" x14ac:dyDescent="0.25">
      <c r="A57" s="378" t="s">
        <v>10</v>
      </c>
      <c r="B57" s="378" t="s">
        <v>866</v>
      </c>
      <c r="C57" s="380">
        <v>9.1845005645494919E-7</v>
      </c>
      <c r="D57" s="379">
        <v>0.55000000000000004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306" customFormat="1" x14ac:dyDescent="0.25">
      <c r="A58" s="378" t="s">
        <v>10</v>
      </c>
      <c r="B58" s="378" t="s">
        <v>226</v>
      </c>
      <c r="C58" s="380">
        <v>6.1490535017828917E-7</v>
      </c>
      <c r="D58" s="379">
        <v>0.37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306" customFormat="1" x14ac:dyDescent="0.25">
      <c r="A59" s="378" t="s">
        <v>10</v>
      </c>
      <c r="B59" s="378" t="s">
        <v>227</v>
      </c>
      <c r="C59" s="380">
        <v>1.5168445171711664E-7</v>
      </c>
      <c r="D59" s="379">
        <v>0.09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285" customFormat="1" x14ac:dyDescent="0.25">
      <c r="A60" s="378" t="s">
        <v>10</v>
      </c>
      <c r="B60" s="378" t="s">
        <v>228</v>
      </c>
      <c r="C60" s="380">
        <v>7.3152663204554038E-6</v>
      </c>
      <c r="D60" s="379">
        <v>4.37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285" customFormat="1" x14ac:dyDescent="0.25">
      <c r="A61" s="378" t="s">
        <v>10</v>
      </c>
      <c r="B61" s="378" t="s">
        <v>229</v>
      </c>
      <c r="C61" s="380">
        <v>5.5741839993847063E-6</v>
      </c>
      <c r="D61" s="379">
        <v>3.33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285" customFormat="1" x14ac:dyDescent="0.25">
      <c r="A62" s="378" t="s">
        <v>10</v>
      </c>
      <c r="B62" s="378" t="s">
        <v>230</v>
      </c>
      <c r="C62" s="380">
        <v>5.3442300207453819E-6</v>
      </c>
      <c r="D62" s="379">
        <v>3.19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s="285" customFormat="1" x14ac:dyDescent="0.25">
      <c r="A63" s="378" t="s">
        <v>10</v>
      </c>
      <c r="B63" s="378" t="s">
        <v>779</v>
      </c>
      <c r="C63" s="380">
        <v>1.5233221605633086E-8</v>
      </c>
      <c r="D63" s="379">
        <v>0.01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285" customFormat="1" x14ac:dyDescent="0.25">
      <c r="A64" s="378" t="s">
        <v>10</v>
      </c>
      <c r="B64" s="378" t="s">
        <v>231</v>
      </c>
      <c r="C64" s="380">
        <v>2.3740911432785533E-5</v>
      </c>
      <c r="D64" s="379">
        <v>14.19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285" customFormat="1" x14ac:dyDescent="0.25">
      <c r="A65" s="378" t="s">
        <v>10</v>
      </c>
      <c r="B65" s="378" t="s">
        <v>232</v>
      </c>
      <c r="C65" s="380">
        <v>1.2233668405824878E-4</v>
      </c>
      <c r="D65" s="379">
        <v>73.12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s="285" customFormat="1" x14ac:dyDescent="0.25">
      <c r="A66" s="378" t="s">
        <v>10</v>
      </c>
      <c r="B66" s="378" t="s">
        <v>233</v>
      </c>
      <c r="C66" s="380">
        <v>1.5351364172776498E-4</v>
      </c>
      <c r="D66" s="379">
        <v>91.75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s="285" customFormat="1" x14ac:dyDescent="0.25">
      <c r="A67" s="378" t="s">
        <v>10</v>
      </c>
      <c r="B67" s="378" t="s">
        <v>234</v>
      </c>
      <c r="C67" s="380">
        <v>5.8854844903630969E-5</v>
      </c>
      <c r="D67" s="379">
        <v>35.18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s="285" customFormat="1" x14ac:dyDescent="0.25">
      <c r="A68" s="378" t="s">
        <v>10</v>
      </c>
      <c r="B68" s="378" t="s">
        <v>235</v>
      </c>
      <c r="C68" s="380">
        <v>9.3618988552451781E-5</v>
      </c>
      <c r="D68" s="379">
        <v>55.95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s="284" customFormat="1" x14ac:dyDescent="0.25">
      <c r="A69" s="378" t="s">
        <v>10</v>
      </c>
      <c r="B69" s="378" t="s">
        <v>236</v>
      </c>
      <c r="C69" s="380">
        <v>3.1939056770126937E-5</v>
      </c>
      <c r="D69" s="379">
        <v>19.09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s="284" customFormat="1" x14ac:dyDescent="0.25">
      <c r="A70" s="378" t="s">
        <v>10</v>
      </c>
      <c r="B70" s="378" t="s">
        <v>501</v>
      </c>
      <c r="C70" s="380">
        <v>4.0815244160988322E-4</v>
      </c>
      <c r="D70" s="379">
        <v>243.95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s="284" customFormat="1" x14ac:dyDescent="0.25">
      <c r="A71" s="378" t="s">
        <v>10</v>
      </c>
      <c r="B71" s="378" t="s">
        <v>237</v>
      </c>
      <c r="C71" s="380">
        <v>1.8427819379992264E-5</v>
      </c>
      <c r="D71" s="379">
        <v>11.01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325" customFormat="1" x14ac:dyDescent="0.25">
      <c r="A72" s="378" t="s">
        <v>10</v>
      </c>
      <c r="B72" s="378" t="s">
        <v>238</v>
      </c>
      <c r="C72" s="380">
        <v>7.864408110686763E-2</v>
      </c>
      <c r="D72" s="379">
        <v>47004.549999999996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s="325" customFormat="1" x14ac:dyDescent="0.25">
      <c r="A73" s="378" t="s">
        <v>10</v>
      </c>
      <c r="B73" s="378" t="s">
        <v>239</v>
      </c>
      <c r="C73" s="380">
        <v>2.6269546999701799E-5</v>
      </c>
      <c r="D73" s="379">
        <v>15.7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s="325" customFormat="1" x14ac:dyDescent="0.25">
      <c r="A74" s="378" t="s">
        <v>10</v>
      </c>
      <c r="B74" s="378" t="s">
        <v>240</v>
      </c>
      <c r="C74" s="380">
        <v>1.3479701881183613E-6</v>
      </c>
      <c r="D74" s="379">
        <v>0.81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s="325" customFormat="1" x14ac:dyDescent="0.25">
      <c r="A75" s="378" t="s">
        <v>10</v>
      </c>
      <c r="B75" s="378" t="s">
        <v>780</v>
      </c>
      <c r="C75" s="380">
        <v>2.9252368346477842E-4</v>
      </c>
      <c r="D75" s="379">
        <v>174.84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s="325" customFormat="1" x14ac:dyDescent="0.25">
      <c r="A76" s="378" t="s">
        <v>10</v>
      </c>
      <c r="B76" s="378" t="s">
        <v>427</v>
      </c>
      <c r="C76" s="380">
        <v>1.3864901677793957E-4</v>
      </c>
      <c r="D76" s="379">
        <v>82.87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325" customFormat="1" x14ac:dyDescent="0.25">
      <c r="A77" s="378" t="s">
        <v>10</v>
      </c>
      <c r="B77" s="378" t="s">
        <v>241</v>
      </c>
      <c r="C77" s="380">
        <v>1.0283402383374079E-4</v>
      </c>
      <c r="D77" s="379">
        <v>61.46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s="325" customFormat="1" x14ac:dyDescent="0.25">
      <c r="A78" s="378" t="s">
        <v>10</v>
      </c>
      <c r="B78" s="378" t="s">
        <v>242</v>
      </c>
      <c r="C78" s="380">
        <v>1.6085322818968591E-5</v>
      </c>
      <c r="D78" s="379">
        <v>9.61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s="325" customFormat="1" x14ac:dyDescent="0.25">
      <c r="A79" s="378" t="s">
        <v>10</v>
      </c>
      <c r="B79" s="378" t="s">
        <v>820</v>
      </c>
      <c r="C79" s="380">
        <v>7.7653628356288008E-7</v>
      </c>
      <c r="D79" s="379">
        <v>0.46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s="325" customFormat="1" x14ac:dyDescent="0.25">
      <c r="A80" s="378" t="s">
        <v>10</v>
      </c>
      <c r="B80" s="378" t="s">
        <v>243</v>
      </c>
      <c r="C80" s="380">
        <v>4.6630186881557631E-4</v>
      </c>
      <c r="D80" s="379">
        <v>278.7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s="325" customFormat="1" x14ac:dyDescent="0.25">
      <c r="A81" s="378" t="s">
        <v>10</v>
      </c>
      <c r="B81" s="378" t="s">
        <v>244</v>
      </c>
      <c r="C81" s="380">
        <v>8.9941162511248329E-6</v>
      </c>
      <c r="D81" s="379">
        <v>5.38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s="325" customFormat="1" x14ac:dyDescent="0.25">
      <c r="A82" s="378" t="s">
        <v>10</v>
      </c>
      <c r="B82" s="378" t="s">
        <v>245</v>
      </c>
      <c r="C82" s="380">
        <v>4.9821192665226488E-5</v>
      </c>
      <c r="D82" s="379">
        <v>29.78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s="325" customFormat="1" x14ac:dyDescent="0.25">
      <c r="A83" s="378" t="s">
        <v>10</v>
      </c>
      <c r="B83" s="378" t="s">
        <v>473</v>
      </c>
      <c r="C83" s="380">
        <v>5.9564947076198223E-6</v>
      </c>
      <c r="D83" s="379">
        <v>3.56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s="325" customFormat="1" x14ac:dyDescent="0.25">
      <c r="A84" s="378" t="s">
        <v>10</v>
      </c>
      <c r="B84" s="378" t="s">
        <v>246</v>
      </c>
      <c r="C84" s="380">
        <v>2.5643433720492279E-5</v>
      </c>
      <c r="D84" s="379">
        <v>15.33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s="284" customFormat="1" x14ac:dyDescent="0.25">
      <c r="A85" s="378" t="s">
        <v>10</v>
      </c>
      <c r="B85" s="378" t="s">
        <v>821</v>
      </c>
      <c r="C85" s="380">
        <v>4.0920649088673774E-7</v>
      </c>
      <c r="D85" s="379">
        <v>0.24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s="284" customFormat="1" x14ac:dyDescent="0.25">
      <c r="A86" s="378" t="s">
        <v>10</v>
      </c>
      <c r="B86" s="378" t="s">
        <v>247</v>
      </c>
      <c r="C86" s="380">
        <v>1.5039687120196723E-5</v>
      </c>
      <c r="D86" s="379">
        <v>8.99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s="284" customFormat="1" x14ac:dyDescent="0.25">
      <c r="A87" s="378" t="s">
        <v>10</v>
      </c>
      <c r="B87" s="378" t="s">
        <v>248</v>
      </c>
      <c r="C87" s="380">
        <v>7.4364195310787481E-6</v>
      </c>
      <c r="D87" s="379">
        <v>4.4400000000000004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s="284" customFormat="1" x14ac:dyDescent="0.25">
      <c r="A88" s="378" t="s">
        <v>10</v>
      </c>
      <c r="B88" s="378" t="s">
        <v>249</v>
      </c>
      <c r="C88" s="380">
        <v>1.9920204708906276E-4</v>
      </c>
      <c r="D88" s="379">
        <v>119.06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s="284" customFormat="1" x14ac:dyDescent="0.25">
      <c r="A89" s="378" t="s">
        <v>10</v>
      </c>
      <c r="B89" s="378" t="s">
        <v>250</v>
      </c>
      <c r="C89" s="380">
        <v>7.4243927591361575E-4</v>
      </c>
      <c r="D89" s="379">
        <v>443.75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s="284" customFormat="1" x14ac:dyDescent="0.25">
      <c r="A90" s="378" t="s">
        <v>10</v>
      </c>
      <c r="B90" s="378" t="s">
        <v>822</v>
      </c>
      <c r="C90" s="380">
        <v>3.6976970475240852E-5</v>
      </c>
      <c r="D90" s="379">
        <v>22.1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s="284" customFormat="1" x14ac:dyDescent="0.25">
      <c r="A91" s="378" t="s">
        <v>10</v>
      </c>
      <c r="B91" s="378" t="s">
        <v>666</v>
      </c>
      <c r="C91" s="380">
        <v>7.8869191378037475E-5</v>
      </c>
      <c r="D91" s="379">
        <v>47.14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s="284" customFormat="1" x14ac:dyDescent="0.25">
      <c r="A92" s="378" t="s">
        <v>10</v>
      </c>
      <c r="B92" s="378" t="s">
        <v>846</v>
      </c>
      <c r="C92" s="380">
        <v>5.1847682030280539E-5</v>
      </c>
      <c r="D92" s="379">
        <v>30.99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284" customFormat="1" x14ac:dyDescent="0.25">
      <c r="A93" s="378" t="s">
        <v>10</v>
      </c>
      <c r="B93" s="378" t="s">
        <v>251</v>
      </c>
      <c r="C93" s="380">
        <v>1.6413475275666491E-4</v>
      </c>
      <c r="D93" s="379">
        <v>98.1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s="284" customFormat="1" x14ac:dyDescent="0.25">
      <c r="A94" s="378" t="s">
        <v>10</v>
      </c>
      <c r="B94" s="378" t="s">
        <v>252</v>
      </c>
      <c r="C94" s="380">
        <v>1.092398590732355E-3</v>
      </c>
      <c r="D94" s="379">
        <v>652.91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s="284" customFormat="1" x14ac:dyDescent="0.25">
      <c r="A95" s="378" t="s">
        <v>10</v>
      </c>
      <c r="B95" s="378" t="s">
        <v>253</v>
      </c>
      <c r="C95" s="380">
        <v>5.3558616977783233E-5</v>
      </c>
      <c r="D95" s="379">
        <v>32.01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s="261" customFormat="1" x14ac:dyDescent="0.25">
      <c r="A96" s="378" t="s">
        <v>10</v>
      </c>
      <c r="B96" s="378" t="s">
        <v>422</v>
      </c>
      <c r="C96" s="380">
        <v>3.4628570405582984E-5</v>
      </c>
      <c r="D96" s="379">
        <v>20.7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s="261" customFormat="1" x14ac:dyDescent="0.25">
      <c r="A97" s="378" t="s">
        <v>10</v>
      </c>
      <c r="B97" s="378" t="s">
        <v>867</v>
      </c>
      <c r="C97" s="380">
        <v>2.0348481322517141E-8</v>
      </c>
      <c r="D97" s="379">
        <v>0.01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s="261" customFormat="1" x14ac:dyDescent="0.25">
      <c r="A98" s="378" t="s">
        <v>10</v>
      </c>
      <c r="B98" s="378" t="s">
        <v>254</v>
      </c>
      <c r="C98" s="380">
        <v>1.0765991946687802E-5</v>
      </c>
      <c r="D98" s="379">
        <v>6.43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s="261" customFormat="1" x14ac:dyDescent="0.25">
      <c r="A99" s="378" t="s">
        <v>10</v>
      </c>
      <c r="B99" s="378" t="s">
        <v>255</v>
      </c>
      <c r="C99" s="380">
        <v>3.1185487351594249E-4</v>
      </c>
      <c r="D99" s="379">
        <v>186.39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261" customFormat="1" x14ac:dyDescent="0.25">
      <c r="A100" s="378" t="s">
        <v>10</v>
      </c>
      <c r="B100" s="378" t="s">
        <v>256</v>
      </c>
      <c r="C100" s="380">
        <v>1.9079672424157908E-4</v>
      </c>
      <c r="D100" s="379">
        <v>114.04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s="261" customFormat="1" x14ac:dyDescent="0.25">
      <c r="A101" s="378" t="s">
        <v>10</v>
      </c>
      <c r="B101" s="378" t="s">
        <v>257</v>
      </c>
      <c r="C101" s="380">
        <v>1.6538624111083475E-4</v>
      </c>
      <c r="D101" s="379">
        <v>98.85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s="261" customFormat="1" x14ac:dyDescent="0.25">
      <c r="A102" s="378" t="s">
        <v>10</v>
      </c>
      <c r="B102" s="378" t="s">
        <v>258</v>
      </c>
      <c r="C102" s="380">
        <v>2.1256912457023031E-4</v>
      </c>
      <c r="D102" s="379">
        <v>127.05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s="261" customFormat="1" x14ac:dyDescent="0.25">
      <c r="A103" s="378" t="s">
        <v>10</v>
      </c>
      <c r="B103" s="378" t="s">
        <v>868</v>
      </c>
      <c r="C103" s="380">
        <v>2.4559372405768746E-8</v>
      </c>
      <c r="D103" s="379">
        <v>0.01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s="261" customFormat="1" x14ac:dyDescent="0.25">
      <c r="A104" s="378" t="s">
        <v>10</v>
      </c>
      <c r="B104" s="378" t="s">
        <v>259</v>
      </c>
      <c r="C104" s="380">
        <v>1.1848718658406922E-4</v>
      </c>
      <c r="D104" s="379">
        <v>70.819999999999993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s="261" customFormat="1" x14ac:dyDescent="0.25">
      <c r="A105" s="378" t="s">
        <v>10</v>
      </c>
      <c r="B105" s="378" t="s">
        <v>360</v>
      </c>
      <c r="C105" s="380">
        <v>6.6048172101954068E-5</v>
      </c>
      <c r="D105" s="379">
        <v>39.479999999999997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s="261" customFormat="1" x14ac:dyDescent="0.25">
      <c r="A106" s="378" t="s">
        <v>10</v>
      </c>
      <c r="B106" s="378" t="s">
        <v>260</v>
      </c>
      <c r="C106" s="380">
        <v>7.6206918044354046E-5</v>
      </c>
      <c r="D106" s="379">
        <v>45.55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s="261" customFormat="1" x14ac:dyDescent="0.25">
      <c r="A107" s="378" t="s">
        <v>10</v>
      </c>
      <c r="B107" s="378" t="s">
        <v>261</v>
      </c>
      <c r="C107" s="380">
        <v>1.0098191898928372E-5</v>
      </c>
      <c r="D107" s="379">
        <v>6.04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s="261" customFormat="1" x14ac:dyDescent="0.25">
      <c r="A108" s="378" t="s">
        <v>10</v>
      </c>
      <c r="B108" s="378" t="s">
        <v>262</v>
      </c>
      <c r="C108" s="380">
        <v>4.9143815838728329E-4</v>
      </c>
      <c r="D108" s="379">
        <v>293.73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x14ac:dyDescent="0.25">
      <c r="A109" s="378" t="s">
        <v>10</v>
      </c>
      <c r="B109" s="378" t="s">
        <v>781</v>
      </c>
      <c r="C109" s="380">
        <v>4.6837544930536095E-6</v>
      </c>
      <c r="D109" s="379">
        <v>2.8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x14ac:dyDescent="0.25">
      <c r="A110" s="378" t="s">
        <v>10</v>
      </c>
      <c r="B110" s="378" t="s">
        <v>474</v>
      </c>
      <c r="C110" s="380">
        <v>1.3545445599995281E-5</v>
      </c>
      <c r="D110" s="379">
        <v>8.1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x14ac:dyDescent="0.25">
      <c r="A111" s="378" t="s">
        <v>10</v>
      </c>
      <c r="B111" s="378" t="s">
        <v>263</v>
      </c>
      <c r="C111" s="380">
        <v>1.3937061666089429E-4</v>
      </c>
      <c r="D111" s="379">
        <v>83.3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x14ac:dyDescent="0.25">
      <c r="A112" s="378" t="s">
        <v>10</v>
      </c>
      <c r="B112" s="378" t="s">
        <v>438</v>
      </c>
      <c r="C112" s="380">
        <v>1.096806722956602E-4</v>
      </c>
      <c r="D112" s="379">
        <v>65.55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x14ac:dyDescent="0.25">
      <c r="A113" s="378" t="s">
        <v>10</v>
      </c>
      <c r="B113" s="378" t="s">
        <v>483</v>
      </c>
      <c r="C113" s="380">
        <v>9.3234315582332109E-6</v>
      </c>
      <c r="D113" s="379">
        <v>5.57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x14ac:dyDescent="0.25">
      <c r="A114" s="378" t="s">
        <v>10</v>
      </c>
      <c r="B114" s="378" t="s">
        <v>264</v>
      </c>
      <c r="C114" s="380">
        <v>9.9543280138309189E-5</v>
      </c>
      <c r="D114" s="379">
        <v>59.5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x14ac:dyDescent="0.25">
      <c r="A115" s="378" t="s">
        <v>10</v>
      </c>
      <c r="B115" s="378" t="s">
        <v>265</v>
      </c>
      <c r="C115" s="380">
        <v>1.1560618813995917E-4</v>
      </c>
      <c r="D115" s="379">
        <v>69.099999999999994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x14ac:dyDescent="0.25">
      <c r="A116" s="378" t="s">
        <v>10</v>
      </c>
      <c r="B116" s="378" t="s">
        <v>363</v>
      </c>
      <c r="C116" s="380">
        <v>1.0907065786640131E-4</v>
      </c>
      <c r="D116" s="379">
        <v>65.19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s="255" customFormat="1" x14ac:dyDescent="0.25">
      <c r="A117" s="378" t="s">
        <v>10</v>
      </c>
      <c r="B117" s="378" t="s">
        <v>364</v>
      </c>
      <c r="C117" s="380">
        <v>8.9924356609900018E-5</v>
      </c>
      <c r="D117" s="379">
        <v>53.75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s="255" customFormat="1" x14ac:dyDescent="0.25">
      <c r="A118" s="378" t="s">
        <v>10</v>
      </c>
      <c r="B118" s="378" t="s">
        <v>266</v>
      </c>
      <c r="C118" s="380">
        <v>5.6492823997341378E-4</v>
      </c>
      <c r="D118" s="379">
        <v>337.65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s="255" customFormat="1" x14ac:dyDescent="0.25">
      <c r="A119" s="378" t="s">
        <v>10</v>
      </c>
      <c r="B119" s="378" t="s">
        <v>267</v>
      </c>
      <c r="C119" s="380">
        <v>1.8907285834046848E-4</v>
      </c>
      <c r="D119" s="379">
        <v>113.01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s="255" customFormat="1" x14ac:dyDescent="0.25">
      <c r="A120" s="378" t="s">
        <v>10</v>
      </c>
      <c r="B120" s="378" t="s">
        <v>268</v>
      </c>
      <c r="C120" s="380">
        <v>5.704980639141162E-4</v>
      </c>
      <c r="D120" s="379">
        <v>340.98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s="255" customFormat="1" x14ac:dyDescent="0.25">
      <c r="A121" s="378" t="s">
        <v>10</v>
      </c>
      <c r="B121" s="378" t="s">
        <v>269</v>
      </c>
      <c r="C121" s="380">
        <v>1.5424914068278787E-5</v>
      </c>
      <c r="D121" s="379">
        <v>9.2200000000000006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s="255" customFormat="1" x14ac:dyDescent="0.25">
      <c r="A122" s="378" t="s">
        <v>11</v>
      </c>
      <c r="B122" s="378" t="s">
        <v>144</v>
      </c>
      <c r="C122" s="379">
        <v>1978.5150000000001</v>
      </c>
      <c r="D122" s="379">
        <v>2795.26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s="255" customFormat="1" x14ac:dyDescent="0.25">
      <c r="A123" s="378" t="s">
        <v>11</v>
      </c>
      <c r="B123" s="378" t="s">
        <v>145</v>
      </c>
      <c r="C123" s="379">
        <v>962.85199999999998</v>
      </c>
      <c r="D123" s="379">
        <v>1360.33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s="255" customFormat="1" x14ac:dyDescent="0.25">
      <c r="A124" s="378" t="s">
        <v>11</v>
      </c>
      <c r="B124" s="378" t="s">
        <v>146</v>
      </c>
      <c r="C124" s="379">
        <v>0</v>
      </c>
      <c r="D124" s="379">
        <v>0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78" t="s">
        <v>11</v>
      </c>
      <c r="B125" s="378" t="s">
        <v>147</v>
      </c>
      <c r="C125" s="379">
        <v>0</v>
      </c>
      <c r="D125" s="379">
        <v>0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78" t="s">
        <v>11</v>
      </c>
      <c r="B126" s="378" t="s">
        <v>161</v>
      </c>
      <c r="C126" s="379">
        <v>79.448400000000007</v>
      </c>
      <c r="D126" s="379">
        <v>112.25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78" t="s">
        <v>11</v>
      </c>
      <c r="B127" s="378" t="s">
        <v>148</v>
      </c>
      <c r="C127" s="379">
        <v>1.2649999999999999</v>
      </c>
      <c r="D127" s="379">
        <v>1.79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78" t="s">
        <v>11</v>
      </c>
      <c r="B128" s="378" t="s">
        <v>149</v>
      </c>
      <c r="C128" s="379">
        <v>617.16139999999996</v>
      </c>
      <c r="D128" s="379">
        <v>871.93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78" t="s">
        <v>11</v>
      </c>
      <c r="B129" s="378" t="s">
        <v>162</v>
      </c>
      <c r="C129" s="379">
        <v>23.4831</v>
      </c>
      <c r="D129" s="379">
        <v>33.18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x14ac:dyDescent="0.25">
      <c r="A130" s="378" t="s">
        <v>11</v>
      </c>
      <c r="B130" s="378" t="s">
        <v>163</v>
      </c>
      <c r="C130" s="379">
        <v>23.4528</v>
      </c>
      <c r="D130" s="379">
        <v>33.130000000000003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x14ac:dyDescent="0.25">
      <c r="A131" s="378" t="s">
        <v>11</v>
      </c>
      <c r="B131" s="378" t="s">
        <v>164</v>
      </c>
      <c r="C131" s="379">
        <v>0.23710000000000001</v>
      </c>
      <c r="D131" s="379">
        <v>0.33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x14ac:dyDescent="0.25">
      <c r="A132" s="378" t="s">
        <v>11</v>
      </c>
      <c r="B132" s="378" t="s">
        <v>165</v>
      </c>
      <c r="C132" s="379">
        <v>0</v>
      </c>
      <c r="D132" s="379">
        <v>0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x14ac:dyDescent="0.25">
      <c r="A133" s="378" t="s">
        <v>11</v>
      </c>
      <c r="B133" s="378" t="s">
        <v>150</v>
      </c>
      <c r="C133" s="379">
        <v>4318.6175999999996</v>
      </c>
      <c r="D133" s="379">
        <v>6101.38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x14ac:dyDescent="0.25">
      <c r="A134" s="378" t="s">
        <v>11</v>
      </c>
      <c r="B134" s="378" t="s">
        <v>151</v>
      </c>
      <c r="C134" s="379">
        <v>466.613</v>
      </c>
      <c r="D134" s="379">
        <v>659.23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x14ac:dyDescent="0.25">
      <c r="A135" s="378" t="s">
        <v>11</v>
      </c>
      <c r="B135" s="378" t="s">
        <v>425</v>
      </c>
      <c r="C135" s="379">
        <v>1153.798</v>
      </c>
      <c r="D135" s="379">
        <v>1630.1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x14ac:dyDescent="0.25">
      <c r="A136" s="378" t="s">
        <v>11</v>
      </c>
      <c r="B136" s="378" t="s">
        <v>152</v>
      </c>
      <c r="C136" s="379">
        <v>823.68200000000002</v>
      </c>
      <c r="D136" s="379">
        <v>1163.7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x14ac:dyDescent="0.25">
      <c r="A137" s="378" t="s">
        <v>11</v>
      </c>
      <c r="B137" s="378" t="s">
        <v>357</v>
      </c>
      <c r="C137" s="379">
        <v>1318.077</v>
      </c>
      <c r="D137" s="379">
        <v>1862.19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x14ac:dyDescent="0.25">
      <c r="A138" s="378" t="s">
        <v>11</v>
      </c>
      <c r="B138" s="378" t="s">
        <v>470</v>
      </c>
      <c r="C138" s="379">
        <v>4.6100000000000003</v>
      </c>
      <c r="D138" s="379">
        <v>6.51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25">
      <c r="A139" s="378" t="s">
        <v>11</v>
      </c>
      <c r="B139" s="378" t="s">
        <v>500</v>
      </c>
      <c r="C139" s="379">
        <v>112.09</v>
      </c>
      <c r="D139" s="379">
        <v>158.36000000000001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x14ac:dyDescent="0.25">
      <c r="A140" s="378" t="s">
        <v>11</v>
      </c>
      <c r="B140" s="378" t="s">
        <v>595</v>
      </c>
      <c r="C140" s="379">
        <v>26.25</v>
      </c>
      <c r="D140" s="379">
        <v>37.090000000000003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x14ac:dyDescent="0.25">
      <c r="A141" s="378" t="s">
        <v>11</v>
      </c>
      <c r="B141" s="378" t="s">
        <v>153</v>
      </c>
      <c r="C141" s="379">
        <v>156346.04029999999</v>
      </c>
      <c r="D141" s="379">
        <v>220886.98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x14ac:dyDescent="0.25">
      <c r="A142" s="378" t="s">
        <v>11</v>
      </c>
      <c r="B142" s="378" t="s">
        <v>154</v>
      </c>
      <c r="C142" s="379">
        <v>109273.4247</v>
      </c>
      <c r="D142" s="379">
        <v>154382.39999999999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x14ac:dyDescent="0.25">
      <c r="A143" s="378" t="s">
        <v>11</v>
      </c>
      <c r="B143" s="378" t="s">
        <v>155</v>
      </c>
      <c r="C143" s="379">
        <v>70230.87</v>
      </c>
      <c r="D143" s="379">
        <v>99222.76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x14ac:dyDescent="0.25">
      <c r="A144" s="378" t="s">
        <v>11</v>
      </c>
      <c r="B144" s="378" t="s">
        <v>156</v>
      </c>
      <c r="C144" s="379">
        <v>53023.770799999998</v>
      </c>
      <c r="D144" s="379">
        <v>74912.42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x14ac:dyDescent="0.25">
      <c r="A145" s="378" t="s">
        <v>11</v>
      </c>
      <c r="B145" s="378" t="s">
        <v>157</v>
      </c>
      <c r="C145" s="379">
        <v>10995.973</v>
      </c>
      <c r="D145" s="379">
        <v>15535.2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x14ac:dyDescent="0.25">
      <c r="A146" s="378" t="s">
        <v>11</v>
      </c>
      <c r="B146" s="378" t="s">
        <v>158</v>
      </c>
      <c r="C146" s="379">
        <v>420.35599999999999</v>
      </c>
      <c r="D146" s="379">
        <v>593.88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x14ac:dyDescent="0.25">
      <c r="A147" s="378" t="s">
        <v>11</v>
      </c>
      <c r="B147" s="378" t="s">
        <v>159</v>
      </c>
      <c r="C147" s="379">
        <v>6345.6895000000004</v>
      </c>
      <c r="D147" s="379">
        <v>8965.24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x14ac:dyDescent="0.25">
      <c r="A148" s="378" t="s">
        <v>11</v>
      </c>
      <c r="B148" s="378" t="s">
        <v>160</v>
      </c>
      <c r="C148" s="379">
        <v>753.01</v>
      </c>
      <c r="D148" s="379">
        <v>1063.8599999999999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x14ac:dyDescent="0.25">
      <c r="A149" s="378" t="s">
        <v>11</v>
      </c>
      <c r="B149" s="378" t="s">
        <v>166</v>
      </c>
      <c r="C149" s="379">
        <v>527.92200000000003</v>
      </c>
      <c r="D149" s="379">
        <v>745.85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x14ac:dyDescent="0.25">
      <c r="A150" s="378" t="s">
        <v>11</v>
      </c>
      <c r="B150" s="378" t="s">
        <v>167</v>
      </c>
      <c r="C150" s="379">
        <v>709.52089999999998</v>
      </c>
      <c r="D150" s="379">
        <v>1002.42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x14ac:dyDescent="0.25">
      <c r="A151" s="378" t="s">
        <v>11</v>
      </c>
      <c r="B151" s="378" t="s">
        <v>168</v>
      </c>
      <c r="C151" s="379">
        <v>267.90719999999999</v>
      </c>
      <c r="D151" s="379">
        <v>378.5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x14ac:dyDescent="0.25">
      <c r="A152" s="378" t="s">
        <v>11</v>
      </c>
      <c r="B152" s="378" t="s">
        <v>169</v>
      </c>
      <c r="C152" s="379">
        <v>901.53989999999999</v>
      </c>
      <c r="D152" s="379">
        <v>1273.7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x14ac:dyDescent="0.25">
      <c r="A153" s="378" t="s">
        <v>11</v>
      </c>
      <c r="B153" s="378" t="s">
        <v>170</v>
      </c>
      <c r="C153" s="379">
        <v>0</v>
      </c>
      <c r="D153" s="379">
        <v>0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x14ac:dyDescent="0.25">
      <c r="A154" s="378" t="s">
        <v>11</v>
      </c>
      <c r="B154" s="378" t="s">
        <v>171</v>
      </c>
      <c r="C154" s="379">
        <v>213.34870000000001</v>
      </c>
      <c r="D154" s="379">
        <v>301.42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x14ac:dyDescent="0.25">
      <c r="A155" s="378" t="s">
        <v>11</v>
      </c>
      <c r="B155" s="378" t="s">
        <v>172</v>
      </c>
      <c r="C155" s="379">
        <v>129.738</v>
      </c>
      <c r="D155" s="379">
        <v>183.29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x14ac:dyDescent="0.25">
      <c r="A156" s="378" t="s">
        <v>11</v>
      </c>
      <c r="B156" s="378" t="s">
        <v>173</v>
      </c>
      <c r="C156" s="379">
        <v>57.740299999999998</v>
      </c>
      <c r="D156" s="379">
        <v>81.58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x14ac:dyDescent="0.25">
      <c r="A157" s="378" t="s">
        <v>11</v>
      </c>
      <c r="B157" s="378" t="s">
        <v>174</v>
      </c>
      <c r="C157" s="379">
        <v>23.465</v>
      </c>
      <c r="D157" s="379">
        <v>33.15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x14ac:dyDescent="0.25">
      <c r="A158" s="378" t="s">
        <v>11</v>
      </c>
      <c r="B158" s="378" t="s">
        <v>175</v>
      </c>
      <c r="C158" s="379">
        <v>34.793700000000001</v>
      </c>
      <c r="D158" s="379">
        <v>49.16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x14ac:dyDescent="0.25">
      <c r="A159" s="378" t="s">
        <v>11</v>
      </c>
      <c r="B159" s="378" t="s">
        <v>358</v>
      </c>
      <c r="C159" s="379">
        <v>67.365899999999996</v>
      </c>
      <c r="D159" s="379">
        <v>95.18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x14ac:dyDescent="0.25">
      <c r="A160" s="378" t="s">
        <v>11</v>
      </c>
      <c r="B160" s="378" t="s">
        <v>471</v>
      </c>
      <c r="C160" s="379">
        <v>0</v>
      </c>
      <c r="D160" s="379">
        <v>0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25">
      <c r="A161" s="378" t="s">
        <v>11</v>
      </c>
      <c r="B161" s="378" t="s">
        <v>472</v>
      </c>
      <c r="C161" s="379">
        <v>36.854999999999997</v>
      </c>
      <c r="D161" s="379">
        <v>52.07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378" t="s">
        <v>11</v>
      </c>
      <c r="B162" s="378" t="s">
        <v>758</v>
      </c>
      <c r="C162" s="379">
        <v>61.978499999999997</v>
      </c>
      <c r="D162" s="379">
        <v>87.56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378" t="s">
        <v>11</v>
      </c>
      <c r="B163" s="378" t="s">
        <v>176</v>
      </c>
      <c r="C163" s="379">
        <v>18493.500400000001</v>
      </c>
      <c r="D163" s="379">
        <v>26127.77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25">
      <c r="A164" s="378" t="s">
        <v>11</v>
      </c>
      <c r="B164" s="378" t="s">
        <v>177</v>
      </c>
      <c r="C164" s="379">
        <v>912.51840000000004</v>
      </c>
      <c r="D164" s="379">
        <v>1289.21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25">
      <c r="A165" s="378" t="s">
        <v>12</v>
      </c>
      <c r="B165" s="378" t="s">
        <v>143</v>
      </c>
      <c r="C165" s="379">
        <v>742366.7182</v>
      </c>
      <c r="D165" s="379">
        <v>393357.1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x14ac:dyDescent="0.25">
      <c r="A166" s="378" t="s">
        <v>13</v>
      </c>
      <c r="B166" s="378" t="s">
        <v>107</v>
      </c>
      <c r="C166" s="379">
        <v>174551.24</v>
      </c>
      <c r="D166" s="379">
        <v>141461.84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x14ac:dyDescent="0.25">
      <c r="A167" s="378" t="s">
        <v>13</v>
      </c>
      <c r="B167" s="378" t="s">
        <v>108</v>
      </c>
      <c r="C167" s="379">
        <v>162310.88500000001</v>
      </c>
      <c r="D167" s="379">
        <v>131541.87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x14ac:dyDescent="0.25">
      <c r="A168" s="378" t="s">
        <v>13</v>
      </c>
      <c r="B168" s="378" t="s">
        <v>109</v>
      </c>
      <c r="C168" s="379">
        <v>2860.4859999999999</v>
      </c>
      <c r="D168" s="379">
        <v>2318.23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x14ac:dyDescent="0.25">
      <c r="A169" s="378" t="s">
        <v>13</v>
      </c>
      <c r="B169" s="378" t="s">
        <v>110</v>
      </c>
      <c r="C169" s="379">
        <v>1116.9359999999999</v>
      </c>
      <c r="D169" s="379">
        <v>905.2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x14ac:dyDescent="0.25">
      <c r="A170" s="378" t="s">
        <v>13</v>
      </c>
      <c r="B170" s="378" t="s">
        <v>111</v>
      </c>
      <c r="C170" s="379">
        <v>3392.7069999999999</v>
      </c>
      <c r="D170" s="379">
        <v>2749.56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x14ac:dyDescent="0.25">
      <c r="A171" s="378" t="s">
        <v>13</v>
      </c>
      <c r="B171" s="378" t="s">
        <v>112</v>
      </c>
      <c r="C171" s="379">
        <v>3.1880000000000002</v>
      </c>
      <c r="D171" s="379">
        <v>2.58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x14ac:dyDescent="0.25">
      <c r="A172" s="378" t="s">
        <v>13</v>
      </c>
      <c r="B172" s="378" t="s">
        <v>113</v>
      </c>
      <c r="C172" s="379">
        <v>655.35900000000004</v>
      </c>
      <c r="D172" s="379">
        <v>531.12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x14ac:dyDescent="0.25">
      <c r="A173" s="378" t="s">
        <v>13</v>
      </c>
      <c r="B173" s="378" t="s">
        <v>114</v>
      </c>
      <c r="C173" s="379">
        <v>8.7959999999999994</v>
      </c>
      <c r="D173" s="379">
        <v>7.13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x14ac:dyDescent="0.25">
      <c r="A174" s="378" t="s">
        <v>13</v>
      </c>
      <c r="B174" s="378" t="s">
        <v>115</v>
      </c>
      <c r="C174" s="379">
        <v>5.9279999999999999</v>
      </c>
      <c r="D174" s="379">
        <v>4.8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x14ac:dyDescent="0.25">
      <c r="A175" s="378" t="s">
        <v>13</v>
      </c>
      <c r="B175" s="378" t="s">
        <v>116</v>
      </c>
      <c r="C175" s="379">
        <v>12.29</v>
      </c>
      <c r="D175" s="379">
        <v>9.9600000000000009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s="198" customFormat="1" x14ac:dyDescent="0.25">
      <c r="A176" s="378" t="s">
        <v>13</v>
      </c>
      <c r="B176" s="378" t="s">
        <v>117</v>
      </c>
      <c r="C176" s="379">
        <v>0</v>
      </c>
      <c r="D176" s="379">
        <v>0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s="198" customFormat="1" x14ac:dyDescent="0.25">
      <c r="A177" s="378" t="s">
        <v>13</v>
      </c>
      <c r="B177" s="378" t="s">
        <v>390</v>
      </c>
      <c r="C177" s="379">
        <v>179.922</v>
      </c>
      <c r="D177" s="379">
        <v>145.81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s="198" customFormat="1" x14ac:dyDescent="0.25">
      <c r="A178" s="378" t="s">
        <v>13</v>
      </c>
      <c r="B178" s="378" t="s">
        <v>118</v>
      </c>
      <c r="C178" s="379">
        <v>29.946000000000002</v>
      </c>
      <c r="D178" s="379">
        <v>24.27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s="198" customFormat="1" x14ac:dyDescent="0.25">
      <c r="A179" s="378" t="s">
        <v>13</v>
      </c>
      <c r="B179" s="378" t="s">
        <v>119</v>
      </c>
      <c r="C179" s="379">
        <v>104.80500000000001</v>
      </c>
      <c r="D179" s="379">
        <v>84.94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s="198" customFormat="1" x14ac:dyDescent="0.25">
      <c r="A180" s="378" t="s">
        <v>13</v>
      </c>
      <c r="B180" s="378" t="s">
        <v>120</v>
      </c>
      <c r="C180" s="379">
        <v>4.1219999999999999</v>
      </c>
      <c r="D180" s="379">
        <v>3.34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s="335" customFormat="1" x14ac:dyDescent="0.25">
      <c r="A181" s="378" t="s">
        <v>13</v>
      </c>
      <c r="B181" s="378" t="s">
        <v>121</v>
      </c>
      <c r="C181" s="379">
        <v>7.3369999999999997</v>
      </c>
      <c r="D181" s="379">
        <v>5.95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s="335" customFormat="1" x14ac:dyDescent="0.25">
      <c r="A182" s="378" t="s">
        <v>13</v>
      </c>
      <c r="B182" s="378" t="s">
        <v>122</v>
      </c>
      <c r="C182" s="379">
        <v>189.48599999999999</v>
      </c>
      <c r="D182" s="379">
        <v>153.57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s="335" customFormat="1" x14ac:dyDescent="0.25">
      <c r="A183" s="378" t="s">
        <v>13</v>
      </c>
      <c r="B183" s="378" t="s">
        <v>123</v>
      </c>
      <c r="C183" s="379">
        <v>2.7330000000000001</v>
      </c>
      <c r="D183" s="379">
        <v>2.21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s="335" customFormat="1" x14ac:dyDescent="0.25">
      <c r="A184" s="378" t="s">
        <v>13</v>
      </c>
      <c r="B184" s="378" t="s">
        <v>124</v>
      </c>
      <c r="C184" s="379">
        <v>753.32399999999996</v>
      </c>
      <c r="D184" s="379">
        <v>610.52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s="335" customFormat="1" x14ac:dyDescent="0.25">
      <c r="A185" s="378" t="s">
        <v>13</v>
      </c>
      <c r="B185" s="378" t="s">
        <v>125</v>
      </c>
      <c r="C185" s="379">
        <v>12.680999999999999</v>
      </c>
      <c r="D185" s="379">
        <v>10.28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s="335" customFormat="1" x14ac:dyDescent="0.25">
      <c r="A186" s="378" t="s">
        <v>13</v>
      </c>
      <c r="B186" s="378" t="s">
        <v>126</v>
      </c>
      <c r="C186" s="379">
        <v>0.747</v>
      </c>
      <c r="D186" s="379">
        <v>0.61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s="335" customFormat="1" x14ac:dyDescent="0.25">
      <c r="A187" s="378" t="s">
        <v>13</v>
      </c>
      <c r="B187" s="378" t="s">
        <v>127</v>
      </c>
      <c r="C187" s="379">
        <v>15.712999999999999</v>
      </c>
      <c r="D187" s="379">
        <v>12.73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s="335" customFormat="1" x14ac:dyDescent="0.25">
      <c r="A188" s="378" t="s">
        <v>13</v>
      </c>
      <c r="B188" s="378" t="s">
        <v>128</v>
      </c>
      <c r="C188" s="379">
        <v>282.64800000000002</v>
      </c>
      <c r="D188" s="379">
        <v>229.07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s="335" customFormat="1" x14ac:dyDescent="0.25">
      <c r="A189" s="378" t="s">
        <v>13</v>
      </c>
      <c r="B189" s="378" t="s">
        <v>129</v>
      </c>
      <c r="C189" s="379">
        <v>7.1909999999999998</v>
      </c>
      <c r="D189" s="379">
        <v>5.83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s="335" customFormat="1" x14ac:dyDescent="0.25">
      <c r="A190" s="378" t="s">
        <v>13</v>
      </c>
      <c r="B190" s="378" t="s">
        <v>130</v>
      </c>
      <c r="C190" s="379">
        <v>7.8659999999999997</v>
      </c>
      <c r="D190" s="379">
        <v>6.37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s="335" customFormat="1" x14ac:dyDescent="0.25">
      <c r="A191" s="378" t="s">
        <v>13</v>
      </c>
      <c r="B191" s="378" t="s">
        <v>131</v>
      </c>
      <c r="C191" s="379">
        <v>0</v>
      </c>
      <c r="D191" s="379">
        <v>0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s="335" customFormat="1" x14ac:dyDescent="0.25">
      <c r="A192" s="378" t="s">
        <v>13</v>
      </c>
      <c r="B192" s="378" t="s">
        <v>132</v>
      </c>
      <c r="C192" s="379">
        <v>0</v>
      </c>
      <c r="D192" s="379">
        <v>0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s="335" customFormat="1" x14ac:dyDescent="0.25">
      <c r="A193" s="378" t="s">
        <v>13</v>
      </c>
      <c r="B193" s="378" t="s">
        <v>133</v>
      </c>
      <c r="C193" s="379">
        <v>979.99599999999998</v>
      </c>
      <c r="D193" s="379">
        <v>794.22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s="335" customFormat="1" x14ac:dyDescent="0.25">
      <c r="A194" s="378" t="s">
        <v>13</v>
      </c>
      <c r="B194" s="378" t="s">
        <v>134</v>
      </c>
      <c r="C194" s="379">
        <v>2567.665</v>
      </c>
      <c r="D194" s="379">
        <v>2080.92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s="335" customFormat="1" x14ac:dyDescent="0.25">
      <c r="A195" s="378" t="s">
        <v>13</v>
      </c>
      <c r="B195" s="378" t="s">
        <v>135</v>
      </c>
      <c r="C195" s="379">
        <v>197.09800000000001</v>
      </c>
      <c r="D195" s="379">
        <v>159.72999999999999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s="335" customFormat="1" x14ac:dyDescent="0.25">
      <c r="A196" s="378" t="s">
        <v>13</v>
      </c>
      <c r="B196" s="378" t="s">
        <v>136</v>
      </c>
      <c r="C196" s="379">
        <v>262.12200000000001</v>
      </c>
      <c r="D196" s="379">
        <v>212.43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s="335" customFormat="1" x14ac:dyDescent="0.25">
      <c r="A197" s="378" t="s">
        <v>13</v>
      </c>
      <c r="B197" s="378" t="s">
        <v>137</v>
      </c>
      <c r="C197" s="379">
        <v>3083.9520000000002</v>
      </c>
      <c r="D197" s="379">
        <v>2499.33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s="335" customFormat="1" x14ac:dyDescent="0.25">
      <c r="A198" s="378" t="s">
        <v>13</v>
      </c>
      <c r="B198" s="378" t="s">
        <v>138</v>
      </c>
      <c r="C198" s="379">
        <v>646.65</v>
      </c>
      <c r="D198" s="379">
        <v>524.07000000000005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s="335" customFormat="1" x14ac:dyDescent="0.25">
      <c r="A199" s="378" t="s">
        <v>13</v>
      </c>
      <c r="B199" s="378" t="s">
        <v>596</v>
      </c>
      <c r="C199" s="379">
        <v>984.66300000000001</v>
      </c>
      <c r="D199" s="379">
        <v>798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s="335" customFormat="1" x14ac:dyDescent="0.25">
      <c r="A200" s="378" t="s">
        <v>13</v>
      </c>
      <c r="B200" s="378" t="s">
        <v>139</v>
      </c>
      <c r="C200" s="379">
        <v>956.59500000000003</v>
      </c>
      <c r="D200" s="379">
        <v>775.25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s="335" customFormat="1" x14ac:dyDescent="0.25">
      <c r="A201" s="378" t="s">
        <v>13</v>
      </c>
      <c r="B201" s="378" t="s">
        <v>140</v>
      </c>
      <c r="C201" s="379">
        <v>216.91900000000001</v>
      </c>
      <c r="D201" s="379">
        <v>175.8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s="335" customFormat="1" x14ac:dyDescent="0.25">
      <c r="A202" s="378" t="s">
        <v>13</v>
      </c>
      <c r="B202" s="378" t="s">
        <v>141</v>
      </c>
      <c r="C202" s="379">
        <v>1916.0930000000001</v>
      </c>
      <c r="D202" s="379">
        <v>1552.86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s="335" customFormat="1" x14ac:dyDescent="0.25">
      <c r="A203" s="378" t="s">
        <v>13</v>
      </c>
      <c r="B203" s="378" t="s">
        <v>142</v>
      </c>
      <c r="C203" s="379">
        <v>260.75799999999998</v>
      </c>
      <c r="D203" s="379">
        <v>211.33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s="335" customFormat="1" x14ac:dyDescent="0.25">
      <c r="A204" s="378" t="s">
        <v>14</v>
      </c>
      <c r="B204" s="378" t="s">
        <v>106</v>
      </c>
      <c r="C204" s="379">
        <v>781326.03</v>
      </c>
      <c r="D204" s="379">
        <v>1329300.46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s="335" customFormat="1" x14ac:dyDescent="0.25">
      <c r="A205" s="378" t="s">
        <v>20</v>
      </c>
      <c r="B205" s="378" t="s">
        <v>35</v>
      </c>
      <c r="C205" s="379">
        <v>632.35450000000003</v>
      </c>
      <c r="D205" s="379">
        <v>520.98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s="335" customFormat="1" x14ac:dyDescent="0.25">
      <c r="A206" s="378" t="s">
        <v>20</v>
      </c>
      <c r="B206" s="378" t="s">
        <v>597</v>
      </c>
      <c r="C206" s="379">
        <v>82.2864</v>
      </c>
      <c r="D206" s="379">
        <v>67.790000000000006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s="335" customFormat="1" x14ac:dyDescent="0.25">
      <c r="A207" s="378" t="s">
        <v>20</v>
      </c>
      <c r="B207" s="378" t="s">
        <v>669</v>
      </c>
      <c r="C207" s="379">
        <v>146.27369999999999</v>
      </c>
      <c r="D207" s="379">
        <v>120.51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s="335" customFormat="1" x14ac:dyDescent="0.25">
      <c r="A208" s="378" t="s">
        <v>20</v>
      </c>
      <c r="B208" s="378" t="s">
        <v>24</v>
      </c>
      <c r="C208" s="379">
        <v>468.29739999999998</v>
      </c>
      <c r="D208" s="379">
        <v>385.82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s="335" customFormat="1" x14ac:dyDescent="0.25">
      <c r="A209" s="378" t="s">
        <v>20</v>
      </c>
      <c r="B209" s="378" t="s">
        <v>25</v>
      </c>
      <c r="C209" s="379">
        <v>59.0184</v>
      </c>
      <c r="D209" s="379">
        <v>48.62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s="335" customFormat="1" x14ac:dyDescent="0.25">
      <c r="A210" s="378" t="s">
        <v>20</v>
      </c>
      <c r="B210" s="378" t="s">
        <v>704</v>
      </c>
      <c r="C210" s="379">
        <v>175.89789999999999</v>
      </c>
      <c r="D210" s="379">
        <v>144.91999999999999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s="335" customFormat="1" x14ac:dyDescent="0.25">
      <c r="A211" s="378" t="s">
        <v>20</v>
      </c>
      <c r="B211" s="378" t="s">
        <v>705</v>
      </c>
      <c r="C211" s="379">
        <v>242.7236</v>
      </c>
      <c r="D211" s="379">
        <v>199.97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s="335" customFormat="1" x14ac:dyDescent="0.25">
      <c r="A212" s="378" t="s">
        <v>20</v>
      </c>
      <c r="B212" s="378" t="s">
        <v>706</v>
      </c>
      <c r="C212" s="379">
        <v>163.14859999999999</v>
      </c>
      <c r="D212" s="379">
        <v>134.41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s="198" customFormat="1" x14ac:dyDescent="0.25">
      <c r="A213" s="378" t="s">
        <v>20</v>
      </c>
      <c r="B213" s="378" t="s">
        <v>354</v>
      </c>
      <c r="C213" s="379">
        <v>250.45529999999999</v>
      </c>
      <c r="D213" s="379">
        <v>206.34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s="198" customFormat="1" x14ac:dyDescent="0.25">
      <c r="A214" s="378" t="s">
        <v>20</v>
      </c>
      <c r="B214" s="378" t="s">
        <v>637</v>
      </c>
      <c r="C214" s="379">
        <v>69.894099999999995</v>
      </c>
      <c r="D214" s="379">
        <v>57.58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s="198" customFormat="1" x14ac:dyDescent="0.25">
      <c r="A215" s="378" t="s">
        <v>20</v>
      </c>
      <c r="B215" s="378" t="s">
        <v>848</v>
      </c>
      <c r="C215" s="379">
        <v>98.535399999999996</v>
      </c>
      <c r="D215" s="379">
        <v>81.180000000000007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s="198" customFormat="1" x14ac:dyDescent="0.25">
      <c r="A216" s="378" t="s">
        <v>20</v>
      </c>
      <c r="B216" s="378" t="s">
        <v>786</v>
      </c>
      <c r="C216" s="379">
        <v>39.316899999999997</v>
      </c>
      <c r="D216" s="379">
        <v>32.39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s="198" customFormat="1" x14ac:dyDescent="0.25">
      <c r="A217" s="378" t="s">
        <v>20</v>
      </c>
      <c r="B217" s="378" t="s">
        <v>26</v>
      </c>
      <c r="C217" s="379">
        <v>19.876799999999999</v>
      </c>
      <c r="D217" s="379">
        <v>16.38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s="198" customFormat="1" x14ac:dyDescent="0.25">
      <c r="A218" s="378" t="s">
        <v>20</v>
      </c>
      <c r="B218" s="378" t="s">
        <v>36</v>
      </c>
      <c r="C218" s="379">
        <v>4.4752999999999998</v>
      </c>
      <c r="D218" s="379">
        <v>3.69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s="198" customFormat="1" x14ac:dyDescent="0.25">
      <c r="A219" s="378" t="s">
        <v>20</v>
      </c>
      <c r="B219" s="378" t="s">
        <v>787</v>
      </c>
      <c r="C219" s="379">
        <v>41.195399999999999</v>
      </c>
      <c r="D219" s="379">
        <v>33.94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s="198" customFormat="1" x14ac:dyDescent="0.25">
      <c r="A220" s="378" t="s">
        <v>20</v>
      </c>
      <c r="B220" s="378" t="s">
        <v>788</v>
      </c>
      <c r="C220" s="379">
        <v>24.7133</v>
      </c>
      <c r="D220" s="379">
        <v>20.36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s="198" customFormat="1" x14ac:dyDescent="0.25">
      <c r="A221" s="378" t="s">
        <v>20</v>
      </c>
      <c r="B221" s="378" t="s">
        <v>525</v>
      </c>
      <c r="C221" s="379">
        <v>82.084900000000005</v>
      </c>
      <c r="D221" s="379">
        <v>67.63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s="198" customFormat="1" x14ac:dyDescent="0.25">
      <c r="A222" s="378" t="s">
        <v>20</v>
      </c>
      <c r="B222" s="378" t="s">
        <v>707</v>
      </c>
      <c r="C222" s="379">
        <v>143.6557</v>
      </c>
      <c r="D222" s="379">
        <v>118.35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s="198" customFormat="1" x14ac:dyDescent="0.25">
      <c r="A223" s="378" t="s">
        <v>20</v>
      </c>
      <c r="B223" s="378" t="s">
        <v>638</v>
      </c>
      <c r="C223" s="379">
        <v>7.8189000000000002</v>
      </c>
      <c r="D223" s="379">
        <v>6.44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s="198" customFormat="1" x14ac:dyDescent="0.25">
      <c r="A224" s="378" t="s">
        <v>20</v>
      </c>
      <c r="B224" s="378" t="s">
        <v>639</v>
      </c>
      <c r="C224" s="379">
        <v>342.43720000000002</v>
      </c>
      <c r="D224" s="379">
        <v>282.12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s="198" customFormat="1" x14ac:dyDescent="0.25">
      <c r="A225" s="378" t="s">
        <v>20</v>
      </c>
      <c r="B225" s="378" t="s">
        <v>670</v>
      </c>
      <c r="C225" s="379">
        <v>60.656399999999998</v>
      </c>
      <c r="D225" s="379">
        <v>49.97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s="198" customFormat="1" x14ac:dyDescent="0.25">
      <c r="A226" s="378" t="s">
        <v>20</v>
      </c>
      <c r="B226" s="378" t="s">
        <v>640</v>
      </c>
      <c r="C226" s="379">
        <v>76.281599999999997</v>
      </c>
      <c r="D226" s="379">
        <v>62.85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x14ac:dyDescent="0.25">
      <c r="A227" s="378" t="s">
        <v>20</v>
      </c>
      <c r="B227" s="378" t="s">
        <v>641</v>
      </c>
      <c r="C227" s="379">
        <v>25.753399999999999</v>
      </c>
      <c r="D227" s="379">
        <v>21.22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x14ac:dyDescent="0.25">
      <c r="A228" s="378" t="s">
        <v>20</v>
      </c>
      <c r="B228" s="378" t="s">
        <v>671</v>
      </c>
      <c r="C228" s="379">
        <v>813.53489999999999</v>
      </c>
      <c r="D228" s="379">
        <v>670.25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x14ac:dyDescent="0.25">
      <c r="A229" s="378" t="s">
        <v>20</v>
      </c>
      <c r="B229" s="378" t="s">
        <v>37</v>
      </c>
      <c r="C229" s="379">
        <v>195.6052</v>
      </c>
      <c r="D229" s="379">
        <v>161.15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x14ac:dyDescent="0.25">
      <c r="A230" s="378" t="s">
        <v>20</v>
      </c>
      <c r="B230" s="378" t="s">
        <v>849</v>
      </c>
      <c r="C230" s="379">
        <v>16.534199999999998</v>
      </c>
      <c r="D230" s="379">
        <v>13.62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x14ac:dyDescent="0.25">
      <c r="A231" s="378" t="s">
        <v>20</v>
      </c>
      <c r="B231" s="378" t="s">
        <v>642</v>
      </c>
      <c r="C231" s="379">
        <v>36.691899999999997</v>
      </c>
      <c r="D231" s="379">
        <v>30.23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x14ac:dyDescent="0.25">
      <c r="A232" s="378" t="s">
        <v>20</v>
      </c>
      <c r="B232" s="378" t="s">
        <v>789</v>
      </c>
      <c r="C232" s="379">
        <v>53.047600000000003</v>
      </c>
      <c r="D232" s="379">
        <v>43.7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x14ac:dyDescent="0.25">
      <c r="A233" s="378" t="s">
        <v>20</v>
      </c>
      <c r="B233" s="378" t="s">
        <v>517</v>
      </c>
      <c r="C233" s="379">
        <v>55.926600000000001</v>
      </c>
      <c r="D233" s="379">
        <v>46.08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x14ac:dyDescent="0.25">
      <c r="A234" s="378" t="s">
        <v>20</v>
      </c>
      <c r="B234" s="378" t="s">
        <v>38</v>
      </c>
      <c r="C234" s="379">
        <v>76.490499999999997</v>
      </c>
      <c r="D234" s="379">
        <v>63.02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x14ac:dyDescent="0.25">
      <c r="A235" s="378" t="s">
        <v>20</v>
      </c>
      <c r="B235" s="378" t="s">
        <v>496</v>
      </c>
      <c r="C235" s="379">
        <v>90.745900000000006</v>
      </c>
      <c r="D235" s="379">
        <v>74.760000000000005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x14ac:dyDescent="0.25">
      <c r="A236" s="378" t="s">
        <v>20</v>
      </c>
      <c r="B236" s="378" t="s">
        <v>643</v>
      </c>
      <c r="C236" s="379">
        <v>319.48070000000001</v>
      </c>
      <c r="D236" s="379">
        <v>263.20999999999998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x14ac:dyDescent="0.25">
      <c r="A237" s="378" t="s">
        <v>20</v>
      </c>
      <c r="B237" s="378" t="s">
        <v>790</v>
      </c>
      <c r="C237" s="379">
        <v>223.24629999999999</v>
      </c>
      <c r="D237" s="379">
        <v>183.93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x14ac:dyDescent="0.25">
      <c r="A238" s="378" t="s">
        <v>20</v>
      </c>
      <c r="B238" s="378" t="s">
        <v>738</v>
      </c>
      <c r="C238" s="379">
        <v>181.89959999999999</v>
      </c>
      <c r="D238" s="379">
        <v>149.86000000000001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x14ac:dyDescent="0.25">
      <c r="A239" s="378" t="s">
        <v>20</v>
      </c>
      <c r="B239" s="378" t="s">
        <v>791</v>
      </c>
      <c r="C239" s="379">
        <v>57.168500000000002</v>
      </c>
      <c r="D239" s="379">
        <v>47.1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x14ac:dyDescent="0.25">
      <c r="A240" s="378" t="s">
        <v>20</v>
      </c>
      <c r="B240" s="378" t="s">
        <v>792</v>
      </c>
      <c r="C240" s="379">
        <v>29.8935</v>
      </c>
      <c r="D240" s="379">
        <v>24.63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x14ac:dyDescent="0.25">
      <c r="A241" s="378" t="s">
        <v>20</v>
      </c>
      <c r="B241" s="378" t="s">
        <v>793</v>
      </c>
      <c r="C241" s="379">
        <v>123.00239999999999</v>
      </c>
      <c r="D241" s="379">
        <v>101.34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x14ac:dyDescent="0.25">
      <c r="A242" s="378" t="s">
        <v>20</v>
      </c>
      <c r="B242" s="378" t="s">
        <v>794</v>
      </c>
      <c r="C242" s="379">
        <v>39.566299999999998</v>
      </c>
      <c r="D242" s="379">
        <v>32.6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x14ac:dyDescent="0.25">
      <c r="A243" s="378" t="s">
        <v>20</v>
      </c>
      <c r="B243" s="378" t="s">
        <v>795</v>
      </c>
      <c r="C243" s="379">
        <v>164.98840000000001</v>
      </c>
      <c r="D243" s="379">
        <v>135.93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x14ac:dyDescent="0.25">
      <c r="A244" s="378" t="s">
        <v>20</v>
      </c>
      <c r="B244" s="378" t="s">
        <v>825</v>
      </c>
      <c r="C244" s="379">
        <v>592.93769999999995</v>
      </c>
      <c r="D244" s="379">
        <v>488.5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x14ac:dyDescent="0.25">
      <c r="A245" s="378" t="s">
        <v>20</v>
      </c>
      <c r="B245" s="378" t="s">
        <v>526</v>
      </c>
      <c r="C245" s="379">
        <v>1116.856</v>
      </c>
      <c r="D245" s="379">
        <v>920.14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x14ac:dyDescent="0.25">
      <c r="A246" s="378" t="s">
        <v>20</v>
      </c>
      <c r="B246" s="378" t="s">
        <v>826</v>
      </c>
      <c r="C246" s="379">
        <v>104.4815</v>
      </c>
      <c r="D246" s="379">
        <v>86.08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x14ac:dyDescent="0.25">
      <c r="A247" s="378" t="s">
        <v>20</v>
      </c>
      <c r="B247" s="378" t="s">
        <v>495</v>
      </c>
      <c r="C247" s="379">
        <v>187.8058</v>
      </c>
      <c r="D247" s="379">
        <v>154.72999999999999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x14ac:dyDescent="0.25">
      <c r="A248" s="378" t="s">
        <v>20</v>
      </c>
      <c r="B248" s="378" t="s">
        <v>527</v>
      </c>
      <c r="C248" s="379">
        <v>40.632199999999997</v>
      </c>
      <c r="D248" s="379">
        <v>33.479999999999997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  <row r="249" spans="1:20" x14ac:dyDescent="0.25">
      <c r="A249" s="378" t="s">
        <v>20</v>
      </c>
      <c r="B249" s="378" t="s">
        <v>39</v>
      </c>
      <c r="C249" s="379">
        <v>1003.1309</v>
      </c>
      <c r="D249" s="379">
        <v>826.45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</row>
    <row r="250" spans="1:20" x14ac:dyDescent="0.25">
      <c r="A250" s="378" t="s">
        <v>20</v>
      </c>
      <c r="B250" s="378" t="s">
        <v>644</v>
      </c>
      <c r="C250" s="379">
        <v>461.09859999999998</v>
      </c>
      <c r="D250" s="379">
        <v>379.88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</row>
    <row r="251" spans="1:20" x14ac:dyDescent="0.25">
      <c r="A251" s="378" t="s">
        <v>20</v>
      </c>
      <c r="B251" s="378" t="s">
        <v>765</v>
      </c>
      <c r="C251" s="379">
        <v>10.594099999999999</v>
      </c>
      <c r="D251" s="379">
        <v>8.73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</row>
    <row r="252" spans="1:20" x14ac:dyDescent="0.25">
      <c r="A252" s="378" t="s">
        <v>20</v>
      </c>
      <c r="B252" s="378" t="s">
        <v>672</v>
      </c>
      <c r="C252" s="379">
        <v>1142.4649999999999</v>
      </c>
      <c r="D252" s="379">
        <v>941.24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x14ac:dyDescent="0.25">
      <c r="A253" s="378" t="s">
        <v>20</v>
      </c>
      <c r="B253" s="378" t="s">
        <v>739</v>
      </c>
      <c r="C253" s="379">
        <v>58.398299999999999</v>
      </c>
      <c r="D253" s="379">
        <v>48.11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</row>
    <row r="254" spans="1:20" x14ac:dyDescent="0.25">
      <c r="A254" s="378" t="s">
        <v>20</v>
      </c>
      <c r="B254" s="378" t="s">
        <v>740</v>
      </c>
      <c r="C254" s="379">
        <v>59.572699999999998</v>
      </c>
      <c r="D254" s="379">
        <v>49.08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20" s="204" customFormat="1" x14ac:dyDescent="0.25">
      <c r="A255" s="378" t="s">
        <v>20</v>
      </c>
      <c r="B255" s="378" t="s">
        <v>827</v>
      </c>
      <c r="C255" s="379">
        <v>28.746400000000001</v>
      </c>
      <c r="D255" s="379">
        <v>23.68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</row>
    <row r="256" spans="1:20" s="204" customFormat="1" x14ac:dyDescent="0.25">
      <c r="A256" s="378" t="s">
        <v>20</v>
      </c>
      <c r="B256" s="378" t="s">
        <v>850</v>
      </c>
      <c r="C256" s="379">
        <v>811.21730000000002</v>
      </c>
      <c r="D256" s="379">
        <v>668.34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</row>
    <row r="257" spans="1:20" s="257" customFormat="1" x14ac:dyDescent="0.25">
      <c r="A257" s="378" t="s">
        <v>20</v>
      </c>
      <c r="B257" s="378" t="s">
        <v>851</v>
      </c>
      <c r="C257" s="379">
        <v>30.636199999999999</v>
      </c>
      <c r="D257" s="379">
        <v>25.24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</row>
    <row r="258" spans="1:20" s="257" customFormat="1" x14ac:dyDescent="0.25">
      <c r="A258" s="378" t="s">
        <v>20</v>
      </c>
      <c r="B258" s="378" t="s">
        <v>708</v>
      </c>
      <c r="C258" s="379">
        <v>151.63730000000001</v>
      </c>
      <c r="D258" s="379">
        <v>124.93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0" s="257" customFormat="1" x14ac:dyDescent="0.25">
      <c r="A259" s="378" t="s">
        <v>20</v>
      </c>
      <c r="B259" s="378" t="s">
        <v>709</v>
      </c>
      <c r="C259" s="379">
        <v>61.171399999999998</v>
      </c>
      <c r="D259" s="379">
        <v>50.4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</row>
    <row r="260" spans="1:20" s="257" customFormat="1" x14ac:dyDescent="0.25">
      <c r="A260" s="378" t="s">
        <v>20</v>
      </c>
      <c r="B260" s="378" t="s">
        <v>796</v>
      </c>
      <c r="C260" s="379">
        <v>190.00810000000001</v>
      </c>
      <c r="D260" s="379">
        <v>156.54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</row>
    <row r="261" spans="1:20" s="257" customFormat="1" x14ac:dyDescent="0.25">
      <c r="A261" s="378" t="s">
        <v>20</v>
      </c>
      <c r="B261" s="378" t="s">
        <v>40</v>
      </c>
      <c r="C261" s="379">
        <v>436.84089999999998</v>
      </c>
      <c r="D261" s="379">
        <v>359.9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</row>
    <row r="262" spans="1:20" s="257" customFormat="1" x14ac:dyDescent="0.25">
      <c r="A262" s="378" t="s">
        <v>20</v>
      </c>
      <c r="B262" s="378" t="s">
        <v>710</v>
      </c>
      <c r="C262" s="379">
        <v>8.609</v>
      </c>
      <c r="D262" s="379">
        <v>7.09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</row>
    <row r="263" spans="1:20" s="257" customFormat="1" x14ac:dyDescent="0.25">
      <c r="A263" s="378" t="s">
        <v>20</v>
      </c>
      <c r="B263" s="378" t="s">
        <v>41</v>
      </c>
      <c r="C263" s="379">
        <v>27.910599999999999</v>
      </c>
      <c r="D263" s="379">
        <v>22.99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</row>
    <row r="264" spans="1:20" s="257" customFormat="1" x14ac:dyDescent="0.25">
      <c r="A264" s="378" t="s">
        <v>20</v>
      </c>
      <c r="B264" s="378" t="s">
        <v>437</v>
      </c>
      <c r="C264" s="379">
        <v>26.6983</v>
      </c>
      <c r="D264" s="379">
        <v>22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s="257" customFormat="1" x14ac:dyDescent="0.25">
      <c r="A265" s="378" t="s">
        <v>20</v>
      </c>
      <c r="B265" s="378" t="s">
        <v>828</v>
      </c>
      <c r="C265" s="379">
        <v>18.5105</v>
      </c>
      <c r="D265" s="379">
        <v>15.25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</row>
    <row r="266" spans="1:20" s="257" customFormat="1" x14ac:dyDescent="0.25">
      <c r="A266" s="378" t="s">
        <v>20</v>
      </c>
      <c r="B266" s="378" t="s">
        <v>395</v>
      </c>
      <c r="C266" s="379">
        <v>533.03499999999997</v>
      </c>
      <c r="D266" s="379">
        <v>439.15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</row>
    <row r="267" spans="1:20" s="257" customFormat="1" x14ac:dyDescent="0.25">
      <c r="A267" s="378" t="s">
        <v>20</v>
      </c>
      <c r="B267" s="378" t="s">
        <v>766</v>
      </c>
      <c r="C267" s="379">
        <v>6.9568000000000003</v>
      </c>
      <c r="D267" s="379">
        <v>5.73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</row>
    <row r="268" spans="1:20" s="204" customFormat="1" x14ac:dyDescent="0.25">
      <c r="A268" s="378" t="s">
        <v>20</v>
      </c>
      <c r="B268" s="378" t="s">
        <v>490</v>
      </c>
      <c r="C268" s="379">
        <v>13.4903</v>
      </c>
      <c r="D268" s="379">
        <v>11.11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</row>
    <row r="269" spans="1:20" s="204" customFormat="1" x14ac:dyDescent="0.25">
      <c r="A269" s="378" t="s">
        <v>20</v>
      </c>
      <c r="B269" s="378" t="s">
        <v>491</v>
      </c>
      <c r="C269" s="379">
        <v>6.4404000000000003</v>
      </c>
      <c r="D269" s="379">
        <v>5.31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</row>
    <row r="270" spans="1:20" x14ac:dyDescent="0.25">
      <c r="A270" s="378" t="s">
        <v>20</v>
      </c>
      <c r="B270" s="378" t="s">
        <v>489</v>
      </c>
      <c r="C270" s="379">
        <v>11.8147</v>
      </c>
      <c r="D270" s="379">
        <v>9.73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</row>
    <row r="271" spans="1:20" x14ac:dyDescent="0.25">
      <c r="A271" s="378" t="s">
        <v>20</v>
      </c>
      <c r="B271" s="378" t="s">
        <v>528</v>
      </c>
      <c r="C271" s="379">
        <v>23.214700000000001</v>
      </c>
      <c r="D271" s="379">
        <v>19.13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</row>
    <row r="272" spans="1:20" x14ac:dyDescent="0.25">
      <c r="A272" s="378" t="s">
        <v>20</v>
      </c>
      <c r="B272" s="378" t="s">
        <v>529</v>
      </c>
      <c r="C272" s="379">
        <v>9.8545999999999996</v>
      </c>
      <c r="D272" s="379">
        <v>8.1199999999999992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x14ac:dyDescent="0.25">
      <c r="A273" s="378" t="s">
        <v>20</v>
      </c>
      <c r="B273" s="378" t="s">
        <v>530</v>
      </c>
      <c r="C273" s="379">
        <v>9.1836000000000002</v>
      </c>
      <c r="D273" s="379">
        <v>7.57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x14ac:dyDescent="0.25">
      <c r="A274" s="378" t="s">
        <v>20</v>
      </c>
      <c r="B274" s="378" t="s">
        <v>42</v>
      </c>
      <c r="C274" s="379">
        <v>238.51859999999999</v>
      </c>
      <c r="D274" s="379">
        <v>196.51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x14ac:dyDescent="0.25">
      <c r="A275" s="378" t="s">
        <v>20</v>
      </c>
      <c r="B275" s="378" t="s">
        <v>466</v>
      </c>
      <c r="C275" s="379">
        <v>8.1325000000000003</v>
      </c>
      <c r="D275" s="379">
        <v>6.7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</row>
    <row r="276" spans="1:20" s="259" customFormat="1" x14ac:dyDescent="0.25">
      <c r="A276" s="378" t="s">
        <v>20</v>
      </c>
      <c r="B276" s="378" t="s">
        <v>741</v>
      </c>
      <c r="C276" s="379">
        <v>144.3082</v>
      </c>
      <c r="D276" s="379">
        <v>118.89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</row>
    <row r="277" spans="1:20" s="259" customFormat="1" x14ac:dyDescent="0.25">
      <c r="A277" s="378" t="s">
        <v>20</v>
      </c>
      <c r="B277" s="378" t="s">
        <v>742</v>
      </c>
      <c r="C277" s="379">
        <v>261.97289999999998</v>
      </c>
      <c r="D277" s="379">
        <v>215.83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</row>
    <row r="278" spans="1:20" s="259" customFormat="1" x14ac:dyDescent="0.25">
      <c r="A278" s="378" t="s">
        <v>20</v>
      </c>
      <c r="B278" s="378" t="s">
        <v>43</v>
      </c>
      <c r="C278" s="379">
        <v>880.97850000000005</v>
      </c>
      <c r="D278" s="379">
        <v>725.81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</row>
    <row r="279" spans="1:20" s="259" customFormat="1" x14ac:dyDescent="0.25">
      <c r="A279" s="378" t="s">
        <v>20</v>
      </c>
      <c r="B279" s="378" t="s">
        <v>356</v>
      </c>
      <c r="C279" s="379">
        <v>661.44370000000004</v>
      </c>
      <c r="D279" s="379">
        <v>544.94000000000005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</row>
    <row r="280" spans="1:20" s="259" customFormat="1" x14ac:dyDescent="0.25">
      <c r="A280" s="378" t="s">
        <v>20</v>
      </c>
      <c r="B280" s="378" t="s">
        <v>44</v>
      </c>
      <c r="C280" s="379">
        <v>149.1645</v>
      </c>
      <c r="D280" s="379">
        <v>122.89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</row>
    <row r="281" spans="1:20" s="259" customFormat="1" x14ac:dyDescent="0.25">
      <c r="A281" s="378" t="s">
        <v>20</v>
      </c>
      <c r="B281" s="378" t="s">
        <v>852</v>
      </c>
      <c r="C281" s="379">
        <v>1.8200000000000001E-2</v>
      </c>
      <c r="D281" s="379">
        <v>0.01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</row>
    <row r="282" spans="1:20" s="259" customFormat="1" x14ac:dyDescent="0.25">
      <c r="A282" s="378" t="s">
        <v>20</v>
      </c>
      <c r="B282" s="378" t="s">
        <v>531</v>
      </c>
      <c r="C282" s="379">
        <v>43.045699999999997</v>
      </c>
      <c r="D282" s="379">
        <v>35.46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</row>
    <row r="283" spans="1:20" s="259" customFormat="1" x14ac:dyDescent="0.25">
      <c r="A283" s="378" t="s">
        <v>20</v>
      </c>
      <c r="B283" s="378" t="s">
        <v>532</v>
      </c>
      <c r="C283" s="379">
        <v>76.172200000000004</v>
      </c>
      <c r="D283" s="379">
        <v>62.76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</row>
    <row r="284" spans="1:20" x14ac:dyDescent="0.25">
      <c r="A284" s="378" t="s">
        <v>20</v>
      </c>
      <c r="B284" s="378" t="s">
        <v>673</v>
      </c>
      <c r="C284" s="379">
        <v>130.96270000000001</v>
      </c>
      <c r="D284" s="379">
        <v>107.9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0" x14ac:dyDescent="0.25">
      <c r="A285" s="378" t="s">
        <v>20</v>
      </c>
      <c r="B285" s="378" t="s">
        <v>45</v>
      </c>
      <c r="C285" s="379">
        <v>1677.9499000000001</v>
      </c>
      <c r="D285" s="379">
        <v>1382.41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</row>
    <row r="286" spans="1:20" x14ac:dyDescent="0.25">
      <c r="A286" s="378" t="s">
        <v>20</v>
      </c>
      <c r="B286" s="378" t="s">
        <v>533</v>
      </c>
      <c r="C286" s="379">
        <v>115.12269999999999</v>
      </c>
      <c r="D286" s="379">
        <v>94.85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</row>
    <row r="287" spans="1:20" x14ac:dyDescent="0.25">
      <c r="A287" s="378" t="s">
        <v>20</v>
      </c>
      <c r="B287" s="378" t="s">
        <v>414</v>
      </c>
      <c r="C287" s="379">
        <v>90.1327</v>
      </c>
      <c r="D287" s="379">
        <v>74.260000000000005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</row>
    <row r="288" spans="1:20" x14ac:dyDescent="0.25">
      <c r="A288" s="378" t="s">
        <v>20</v>
      </c>
      <c r="B288" s="378" t="s">
        <v>408</v>
      </c>
      <c r="C288" s="379">
        <v>249.20519999999999</v>
      </c>
      <c r="D288" s="379">
        <v>205.31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</row>
    <row r="289" spans="1:20" x14ac:dyDescent="0.25">
      <c r="A289" s="378" t="s">
        <v>20</v>
      </c>
      <c r="B289" s="378" t="s">
        <v>431</v>
      </c>
      <c r="C289" s="379">
        <v>104.7513</v>
      </c>
      <c r="D289" s="379">
        <v>86.3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</row>
    <row r="290" spans="1:20" x14ac:dyDescent="0.25">
      <c r="A290" s="378" t="s">
        <v>20</v>
      </c>
      <c r="B290" s="378" t="s">
        <v>416</v>
      </c>
      <c r="C290" s="379">
        <v>110.7319</v>
      </c>
      <c r="D290" s="379">
        <v>91.23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</row>
    <row r="291" spans="1:20" x14ac:dyDescent="0.25">
      <c r="A291" s="378" t="s">
        <v>20</v>
      </c>
      <c r="B291" s="378" t="s">
        <v>428</v>
      </c>
      <c r="C291" s="379">
        <v>168.2414</v>
      </c>
      <c r="D291" s="379">
        <v>138.61000000000001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</row>
    <row r="292" spans="1:20" x14ac:dyDescent="0.25">
      <c r="A292" s="378" t="s">
        <v>20</v>
      </c>
      <c r="B292" s="378" t="s">
        <v>415</v>
      </c>
      <c r="C292" s="379">
        <v>68.927599999999998</v>
      </c>
      <c r="D292" s="379">
        <v>56.79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</row>
    <row r="293" spans="1:20" x14ac:dyDescent="0.25">
      <c r="A293" s="378" t="s">
        <v>20</v>
      </c>
      <c r="B293" s="378" t="s">
        <v>433</v>
      </c>
      <c r="C293" s="379">
        <v>223.54679999999999</v>
      </c>
      <c r="D293" s="379">
        <v>184.17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</row>
    <row r="294" spans="1:20" x14ac:dyDescent="0.25">
      <c r="A294" s="378" t="s">
        <v>20</v>
      </c>
      <c r="B294" s="378" t="s">
        <v>409</v>
      </c>
      <c r="C294" s="379">
        <v>284.85050000000001</v>
      </c>
      <c r="D294" s="379">
        <v>234.68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</row>
    <row r="295" spans="1:20" x14ac:dyDescent="0.25">
      <c r="A295" s="378" t="s">
        <v>20</v>
      </c>
      <c r="B295" s="378" t="s">
        <v>432</v>
      </c>
      <c r="C295" s="379">
        <v>251.35599999999999</v>
      </c>
      <c r="D295" s="379">
        <v>207.08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</row>
    <row r="296" spans="1:20" x14ac:dyDescent="0.25">
      <c r="A296" s="378" t="s">
        <v>20</v>
      </c>
      <c r="B296" s="378" t="s">
        <v>410</v>
      </c>
      <c r="C296" s="379">
        <v>380.54759999999999</v>
      </c>
      <c r="D296" s="379">
        <v>313.52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0" x14ac:dyDescent="0.25">
      <c r="A297" s="378" t="s">
        <v>20</v>
      </c>
      <c r="B297" s="378" t="s">
        <v>429</v>
      </c>
      <c r="C297" s="379">
        <v>200.7893</v>
      </c>
      <c r="D297" s="379">
        <v>165.42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</row>
    <row r="298" spans="1:20" x14ac:dyDescent="0.25">
      <c r="A298" s="378" t="s">
        <v>20</v>
      </c>
      <c r="B298" s="378" t="s">
        <v>645</v>
      </c>
      <c r="C298" s="379">
        <v>151.2234</v>
      </c>
      <c r="D298" s="379">
        <v>124.59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</row>
    <row r="299" spans="1:20" x14ac:dyDescent="0.25">
      <c r="A299" s="378" t="s">
        <v>20</v>
      </c>
      <c r="B299" s="378" t="s">
        <v>405</v>
      </c>
      <c r="C299" s="379">
        <v>204.30590000000001</v>
      </c>
      <c r="D299" s="379">
        <v>168.32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</row>
    <row r="300" spans="1:20" x14ac:dyDescent="0.25">
      <c r="A300" s="378" t="s">
        <v>20</v>
      </c>
      <c r="B300" s="378" t="s">
        <v>371</v>
      </c>
      <c r="C300" s="379">
        <v>14.6159</v>
      </c>
      <c r="D300" s="379">
        <v>12.04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</row>
    <row r="301" spans="1:20" x14ac:dyDescent="0.25">
      <c r="A301" s="378" t="s">
        <v>20</v>
      </c>
      <c r="B301" s="378" t="s">
        <v>372</v>
      </c>
      <c r="C301" s="379">
        <v>30.208500000000001</v>
      </c>
      <c r="D301" s="379">
        <v>24.89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x14ac:dyDescent="0.25">
      <c r="A302" s="378" t="s">
        <v>20</v>
      </c>
      <c r="B302" s="378" t="s">
        <v>373</v>
      </c>
      <c r="C302" s="379">
        <v>52.929600000000001</v>
      </c>
      <c r="D302" s="379">
        <v>43.61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x14ac:dyDescent="0.25">
      <c r="A303" s="378" t="s">
        <v>20</v>
      </c>
      <c r="B303" s="378" t="s">
        <v>413</v>
      </c>
      <c r="C303" s="379">
        <v>66.441800000000001</v>
      </c>
      <c r="D303" s="379">
        <v>54.74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x14ac:dyDescent="0.25">
      <c r="A304" s="378" t="s">
        <v>20</v>
      </c>
      <c r="B304" s="378" t="s">
        <v>374</v>
      </c>
      <c r="C304" s="379">
        <v>24.955200000000001</v>
      </c>
      <c r="D304" s="379">
        <v>20.56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</row>
    <row r="305" spans="1:20" x14ac:dyDescent="0.25">
      <c r="A305" s="378" t="s">
        <v>20</v>
      </c>
      <c r="B305" s="378" t="s">
        <v>27</v>
      </c>
      <c r="C305" s="379">
        <v>29.128399999999999</v>
      </c>
      <c r="D305" s="379">
        <v>24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</row>
    <row r="306" spans="1:20" x14ac:dyDescent="0.25">
      <c r="A306" s="378" t="s">
        <v>20</v>
      </c>
      <c r="B306" s="378" t="s">
        <v>797</v>
      </c>
      <c r="C306" s="379">
        <v>1273.4341999999999</v>
      </c>
      <c r="D306" s="379">
        <v>1049.1400000000001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</row>
    <row r="307" spans="1:20" x14ac:dyDescent="0.25">
      <c r="A307" s="378" t="s">
        <v>20</v>
      </c>
      <c r="B307" s="378" t="s">
        <v>393</v>
      </c>
      <c r="C307" s="379">
        <v>13.2661</v>
      </c>
      <c r="D307" s="379">
        <v>10.93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</row>
    <row r="308" spans="1:20" x14ac:dyDescent="0.25">
      <c r="A308" s="378" t="s">
        <v>20</v>
      </c>
      <c r="B308" s="378" t="s">
        <v>798</v>
      </c>
      <c r="C308" s="379">
        <v>61.400199999999998</v>
      </c>
      <c r="D308" s="379">
        <v>50.59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</row>
    <row r="309" spans="1:20" x14ac:dyDescent="0.25">
      <c r="A309" s="378" t="s">
        <v>20</v>
      </c>
      <c r="B309" s="378" t="s">
        <v>613</v>
      </c>
      <c r="C309" s="379">
        <v>263.8569</v>
      </c>
      <c r="D309" s="379">
        <v>217.38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</row>
    <row r="310" spans="1:20" s="282" customFormat="1" x14ac:dyDescent="0.25">
      <c r="A310" s="378" t="s">
        <v>20</v>
      </c>
      <c r="B310" s="378" t="s">
        <v>829</v>
      </c>
      <c r="C310" s="379">
        <v>154.59950000000001</v>
      </c>
      <c r="D310" s="379">
        <v>127.37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</row>
    <row r="311" spans="1:20" s="282" customFormat="1" x14ac:dyDescent="0.25">
      <c r="A311" s="378" t="s">
        <v>20</v>
      </c>
      <c r="B311" s="378" t="s">
        <v>449</v>
      </c>
      <c r="C311" s="379">
        <v>46.942399999999999</v>
      </c>
      <c r="D311" s="379">
        <v>38.67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</row>
    <row r="312" spans="1:20" s="282" customFormat="1" x14ac:dyDescent="0.25">
      <c r="A312" s="378" t="s">
        <v>20</v>
      </c>
      <c r="B312" s="378" t="s">
        <v>503</v>
      </c>
      <c r="C312" s="379">
        <v>16.417000000000002</v>
      </c>
      <c r="D312" s="379">
        <v>13.53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</row>
    <row r="313" spans="1:20" s="282" customFormat="1" x14ac:dyDescent="0.25">
      <c r="A313" s="378" t="s">
        <v>20</v>
      </c>
      <c r="B313" s="378" t="s">
        <v>646</v>
      </c>
      <c r="C313" s="379">
        <v>188.57589999999999</v>
      </c>
      <c r="D313" s="379">
        <v>155.36000000000001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</row>
    <row r="314" spans="1:20" s="282" customFormat="1" x14ac:dyDescent="0.25">
      <c r="A314" s="378" t="s">
        <v>20</v>
      </c>
      <c r="B314" s="378" t="s">
        <v>476</v>
      </c>
      <c r="C314" s="379">
        <v>225.6549</v>
      </c>
      <c r="D314" s="379">
        <v>185.91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s="282" customFormat="1" x14ac:dyDescent="0.25">
      <c r="A315" s="378" t="s">
        <v>20</v>
      </c>
      <c r="B315" s="378" t="s">
        <v>767</v>
      </c>
      <c r="C315" s="379">
        <v>64.866600000000005</v>
      </c>
      <c r="D315" s="379">
        <v>53.44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</row>
    <row r="316" spans="1:20" s="282" customFormat="1" x14ac:dyDescent="0.25">
      <c r="A316" s="378" t="s">
        <v>20</v>
      </c>
      <c r="B316" s="378" t="s">
        <v>534</v>
      </c>
      <c r="C316" s="379">
        <v>5.5975999999999999</v>
      </c>
      <c r="D316" s="379">
        <v>4.6100000000000003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</row>
    <row r="317" spans="1:20" s="282" customFormat="1" x14ac:dyDescent="0.25">
      <c r="A317" s="378" t="s">
        <v>20</v>
      </c>
      <c r="B317" s="378" t="s">
        <v>504</v>
      </c>
      <c r="C317" s="379">
        <v>1.9520999999999999</v>
      </c>
      <c r="D317" s="379">
        <v>1.61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</row>
    <row r="318" spans="1:20" s="282" customFormat="1" x14ac:dyDescent="0.25">
      <c r="A318" s="378" t="s">
        <v>20</v>
      </c>
      <c r="B318" s="378" t="s">
        <v>535</v>
      </c>
      <c r="C318" s="379">
        <v>13.3269</v>
      </c>
      <c r="D318" s="379">
        <v>10.98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0" x14ac:dyDescent="0.25">
      <c r="A319" s="378" t="s">
        <v>20</v>
      </c>
      <c r="B319" s="378" t="s">
        <v>536</v>
      </c>
      <c r="C319" s="379">
        <v>3.0017</v>
      </c>
      <c r="D319" s="379">
        <v>2.4700000000000002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</row>
    <row r="320" spans="1:20" x14ac:dyDescent="0.25">
      <c r="A320" s="378" t="s">
        <v>20</v>
      </c>
      <c r="B320" s="378" t="s">
        <v>505</v>
      </c>
      <c r="C320" s="379">
        <v>3.3119999999999998</v>
      </c>
      <c r="D320" s="379">
        <v>2.73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</row>
    <row r="321" spans="1:20" x14ac:dyDescent="0.25">
      <c r="A321" s="378" t="s">
        <v>20</v>
      </c>
      <c r="B321" s="378" t="s">
        <v>537</v>
      </c>
      <c r="C321" s="379">
        <v>3.2233000000000001</v>
      </c>
      <c r="D321" s="379">
        <v>2.66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</row>
    <row r="322" spans="1:20" x14ac:dyDescent="0.25">
      <c r="A322" s="378" t="s">
        <v>20</v>
      </c>
      <c r="B322" s="378" t="s">
        <v>465</v>
      </c>
      <c r="C322" s="379">
        <v>19.3352</v>
      </c>
      <c r="D322" s="379">
        <v>15.93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</row>
    <row r="323" spans="1:20" x14ac:dyDescent="0.25">
      <c r="A323" s="378" t="s">
        <v>20</v>
      </c>
      <c r="B323" s="378" t="s">
        <v>538</v>
      </c>
      <c r="C323" s="379">
        <v>3.0131000000000001</v>
      </c>
      <c r="D323" s="379">
        <v>2.48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</row>
    <row r="324" spans="1:20" x14ac:dyDescent="0.25">
      <c r="A324" s="378" t="s">
        <v>20</v>
      </c>
      <c r="B324" s="378" t="s">
        <v>539</v>
      </c>
      <c r="C324" s="379">
        <v>20.4801</v>
      </c>
      <c r="D324" s="379">
        <v>16.87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</row>
    <row r="325" spans="1:20" x14ac:dyDescent="0.25">
      <c r="A325" s="378" t="s">
        <v>20</v>
      </c>
      <c r="B325" s="378" t="s">
        <v>540</v>
      </c>
      <c r="C325" s="379">
        <v>3.2864</v>
      </c>
      <c r="D325" s="379">
        <v>2.71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6" spans="1:20" x14ac:dyDescent="0.25">
      <c r="A326" s="378" t="s">
        <v>20</v>
      </c>
      <c r="B326" s="378" t="s">
        <v>541</v>
      </c>
      <c r="C326" s="379">
        <v>8.8461999999999996</v>
      </c>
      <c r="D326" s="379">
        <v>7.29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</row>
    <row r="327" spans="1:20" x14ac:dyDescent="0.25">
      <c r="A327" s="378" t="s">
        <v>20</v>
      </c>
      <c r="B327" s="378" t="s">
        <v>506</v>
      </c>
      <c r="C327" s="379">
        <v>1.7976000000000001</v>
      </c>
      <c r="D327" s="379">
        <v>1.48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x14ac:dyDescent="0.25">
      <c r="A328" s="378" t="s">
        <v>20</v>
      </c>
      <c r="B328" s="378" t="s">
        <v>507</v>
      </c>
      <c r="C328" s="379">
        <v>267.6567</v>
      </c>
      <c r="D328" s="379">
        <v>220.51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x14ac:dyDescent="0.25">
      <c r="A329" s="378" t="s">
        <v>20</v>
      </c>
      <c r="B329" s="378" t="s">
        <v>365</v>
      </c>
      <c r="C329" s="379">
        <v>266.53620000000001</v>
      </c>
      <c r="D329" s="379">
        <v>219.59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x14ac:dyDescent="0.25">
      <c r="A330" s="378" t="s">
        <v>20</v>
      </c>
      <c r="B330" s="378" t="s">
        <v>21</v>
      </c>
      <c r="C330" s="379">
        <v>71535.7215</v>
      </c>
      <c r="D330" s="379">
        <v>58936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0" x14ac:dyDescent="0.25">
      <c r="A331" s="378" t="s">
        <v>20</v>
      </c>
      <c r="B331" s="378" t="s">
        <v>22</v>
      </c>
      <c r="C331" s="379">
        <v>308895.36780000001</v>
      </c>
      <c r="D331" s="379">
        <v>254489.04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</row>
    <row r="332" spans="1:20" x14ac:dyDescent="0.25">
      <c r="A332" s="378" t="s">
        <v>20</v>
      </c>
      <c r="B332" s="378" t="s">
        <v>799</v>
      </c>
      <c r="C332" s="379">
        <v>190.60140000000001</v>
      </c>
      <c r="D332" s="379">
        <v>157.03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</row>
    <row r="333" spans="1:20" x14ac:dyDescent="0.25">
      <c r="A333" s="378" t="s">
        <v>20</v>
      </c>
      <c r="B333" s="378" t="s">
        <v>46</v>
      </c>
      <c r="C333" s="379">
        <v>565.01379999999995</v>
      </c>
      <c r="D333" s="379">
        <v>465.5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</row>
    <row r="334" spans="1:20" x14ac:dyDescent="0.25">
      <c r="A334" s="378" t="s">
        <v>20</v>
      </c>
      <c r="B334" s="378" t="s">
        <v>768</v>
      </c>
      <c r="C334" s="379">
        <v>18.749300000000002</v>
      </c>
      <c r="D334" s="379">
        <v>15.45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</row>
    <row r="335" spans="1:20" x14ac:dyDescent="0.25">
      <c r="A335" s="378" t="s">
        <v>20</v>
      </c>
      <c r="B335" s="378" t="s">
        <v>853</v>
      </c>
      <c r="C335" s="379">
        <v>3.6600000000000001E-2</v>
      </c>
      <c r="D335" s="379">
        <v>0.03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</row>
    <row r="336" spans="1:20" x14ac:dyDescent="0.25">
      <c r="A336" s="378" t="s">
        <v>20</v>
      </c>
      <c r="B336" s="378" t="s">
        <v>854</v>
      </c>
      <c r="C336" s="379">
        <v>27.830500000000001</v>
      </c>
      <c r="D336" s="379">
        <v>22.93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</row>
    <row r="337" spans="1:20" x14ac:dyDescent="0.25">
      <c r="A337" s="378" t="s">
        <v>20</v>
      </c>
      <c r="B337" s="378" t="s">
        <v>23</v>
      </c>
      <c r="C337" s="379">
        <v>258862.68109999999</v>
      </c>
      <c r="D337" s="379">
        <v>213268.71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</row>
    <row r="338" spans="1:20" x14ac:dyDescent="0.25">
      <c r="A338" s="378" t="s">
        <v>20</v>
      </c>
      <c r="B338" s="378" t="s">
        <v>743</v>
      </c>
      <c r="C338" s="379">
        <v>56.86</v>
      </c>
      <c r="D338" s="379">
        <v>46.85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</row>
    <row r="339" spans="1:20" x14ac:dyDescent="0.25">
      <c r="A339" s="378" t="s">
        <v>20</v>
      </c>
      <c r="B339" s="378" t="s">
        <v>800</v>
      </c>
      <c r="C339" s="379">
        <v>426.90710000000001</v>
      </c>
      <c r="D339" s="379">
        <v>351.72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</row>
    <row r="340" spans="1:20" x14ac:dyDescent="0.25">
      <c r="A340" s="378" t="s">
        <v>20</v>
      </c>
      <c r="B340" s="378" t="s">
        <v>801</v>
      </c>
      <c r="C340" s="379">
        <v>69.97</v>
      </c>
      <c r="D340" s="379">
        <v>57.65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</row>
    <row r="341" spans="1:20" x14ac:dyDescent="0.25">
      <c r="A341" s="378" t="s">
        <v>20</v>
      </c>
      <c r="B341" s="378" t="s">
        <v>542</v>
      </c>
      <c r="C341" s="379">
        <v>116.2747</v>
      </c>
      <c r="D341" s="379">
        <v>95.8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</row>
    <row r="342" spans="1:20" x14ac:dyDescent="0.25">
      <c r="A342" s="378" t="s">
        <v>20</v>
      </c>
      <c r="B342" s="378" t="s">
        <v>543</v>
      </c>
      <c r="C342" s="379">
        <v>111.2227</v>
      </c>
      <c r="D342" s="379">
        <v>91.63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</row>
    <row r="343" spans="1:20" x14ac:dyDescent="0.25">
      <c r="A343" s="378" t="s">
        <v>20</v>
      </c>
      <c r="B343" s="378" t="s">
        <v>544</v>
      </c>
      <c r="C343" s="379">
        <v>38.610999999999997</v>
      </c>
      <c r="D343" s="379">
        <v>31.81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</row>
    <row r="344" spans="1:20" x14ac:dyDescent="0.25">
      <c r="A344" s="378" t="s">
        <v>20</v>
      </c>
      <c r="B344" s="378" t="s">
        <v>545</v>
      </c>
      <c r="C344" s="379">
        <v>84.093199999999996</v>
      </c>
      <c r="D344" s="379">
        <v>69.28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spans="1:20" x14ac:dyDescent="0.25">
      <c r="A345" s="378" t="s">
        <v>20</v>
      </c>
      <c r="B345" s="378" t="s">
        <v>546</v>
      </c>
      <c r="C345" s="379">
        <v>80.546400000000006</v>
      </c>
      <c r="D345" s="379">
        <v>66.36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</row>
    <row r="346" spans="1:20" x14ac:dyDescent="0.25">
      <c r="A346" s="378" t="s">
        <v>20</v>
      </c>
      <c r="B346" s="378" t="s">
        <v>547</v>
      </c>
      <c r="C346" s="379">
        <v>31.482600000000001</v>
      </c>
      <c r="D346" s="379">
        <v>25.94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</row>
    <row r="347" spans="1:20" x14ac:dyDescent="0.25">
      <c r="A347" s="378" t="s">
        <v>20</v>
      </c>
      <c r="B347" s="378" t="s">
        <v>548</v>
      </c>
      <c r="C347" s="379">
        <v>59.359499999999997</v>
      </c>
      <c r="D347" s="379">
        <v>48.9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</row>
    <row r="348" spans="1:20" x14ac:dyDescent="0.25">
      <c r="A348" s="378" t="s">
        <v>20</v>
      </c>
      <c r="B348" s="378" t="s">
        <v>549</v>
      </c>
      <c r="C348" s="379">
        <v>49.503900000000002</v>
      </c>
      <c r="D348" s="379">
        <v>40.78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</row>
    <row r="349" spans="1:20" x14ac:dyDescent="0.25">
      <c r="A349" s="378" t="s">
        <v>20</v>
      </c>
      <c r="B349" s="378" t="s">
        <v>550</v>
      </c>
      <c r="C349" s="379">
        <v>100.51309999999999</v>
      </c>
      <c r="D349" s="379">
        <v>82.81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</row>
    <row r="350" spans="1:20" x14ac:dyDescent="0.25">
      <c r="A350" s="378" t="s">
        <v>20</v>
      </c>
      <c r="B350" s="378" t="s">
        <v>551</v>
      </c>
      <c r="C350" s="379">
        <v>127.7505</v>
      </c>
      <c r="D350" s="379">
        <v>105.25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</row>
    <row r="351" spans="1:20" x14ac:dyDescent="0.25">
      <c r="A351" s="378" t="s">
        <v>20</v>
      </c>
      <c r="B351" s="378" t="s">
        <v>552</v>
      </c>
      <c r="C351" s="379">
        <v>74.037999999999997</v>
      </c>
      <c r="D351" s="379">
        <v>61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</row>
    <row r="352" spans="1:20" x14ac:dyDescent="0.25">
      <c r="A352" s="378" t="s">
        <v>20</v>
      </c>
      <c r="B352" s="378" t="s">
        <v>553</v>
      </c>
      <c r="C352" s="379">
        <v>139.58090000000001</v>
      </c>
      <c r="D352" s="379">
        <v>115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</row>
    <row r="353" spans="1:20" x14ac:dyDescent="0.25">
      <c r="A353" s="378" t="s">
        <v>20</v>
      </c>
      <c r="B353" s="378" t="s">
        <v>554</v>
      </c>
      <c r="C353" s="379">
        <v>31.360900000000001</v>
      </c>
      <c r="D353" s="379">
        <v>25.84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0" x14ac:dyDescent="0.25">
      <c r="A354" s="378" t="s">
        <v>20</v>
      </c>
      <c r="B354" s="378" t="s">
        <v>555</v>
      </c>
      <c r="C354" s="379">
        <v>73.405900000000003</v>
      </c>
      <c r="D354" s="379">
        <v>60.48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</row>
    <row r="355" spans="1:20" x14ac:dyDescent="0.25">
      <c r="A355" s="378" t="s">
        <v>20</v>
      </c>
      <c r="B355" s="378" t="s">
        <v>556</v>
      </c>
      <c r="C355" s="379">
        <v>44.589599999999997</v>
      </c>
      <c r="D355" s="379">
        <v>36.74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</row>
    <row r="356" spans="1:20" x14ac:dyDescent="0.25">
      <c r="A356" s="378" t="s">
        <v>20</v>
      </c>
      <c r="B356" s="378" t="s">
        <v>557</v>
      </c>
      <c r="C356" s="379">
        <v>154.27670000000001</v>
      </c>
      <c r="D356" s="379">
        <v>127.1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</row>
    <row r="357" spans="1:20" x14ac:dyDescent="0.25">
      <c r="A357" s="378" t="s">
        <v>20</v>
      </c>
      <c r="B357" s="378" t="s">
        <v>558</v>
      </c>
      <c r="C357" s="379">
        <v>57.494399999999999</v>
      </c>
      <c r="D357" s="379">
        <v>47.37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</row>
    <row r="358" spans="1:20" x14ac:dyDescent="0.25">
      <c r="A358" s="378" t="s">
        <v>20</v>
      </c>
      <c r="B358" s="378" t="s">
        <v>559</v>
      </c>
      <c r="C358" s="379">
        <v>68.0548</v>
      </c>
      <c r="D358" s="379">
        <v>56.07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</row>
    <row r="359" spans="1:20" x14ac:dyDescent="0.25">
      <c r="A359" s="378" t="s">
        <v>20</v>
      </c>
      <c r="B359" s="378" t="s">
        <v>560</v>
      </c>
      <c r="C359" s="379">
        <v>64.637900000000002</v>
      </c>
      <c r="D359" s="379">
        <v>53.25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</row>
    <row r="360" spans="1:20" x14ac:dyDescent="0.25">
      <c r="A360" s="378" t="s">
        <v>20</v>
      </c>
      <c r="B360" s="378" t="s">
        <v>561</v>
      </c>
      <c r="C360" s="379">
        <v>15.091900000000001</v>
      </c>
      <c r="D360" s="379">
        <v>12.43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</row>
    <row r="361" spans="1:20" x14ac:dyDescent="0.25">
      <c r="A361" s="378" t="s">
        <v>20</v>
      </c>
      <c r="B361" s="378" t="s">
        <v>562</v>
      </c>
      <c r="C361" s="379">
        <v>36.2988</v>
      </c>
      <c r="D361" s="379">
        <v>29.91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</row>
    <row r="362" spans="1:20" x14ac:dyDescent="0.25">
      <c r="A362" s="378" t="s">
        <v>20</v>
      </c>
      <c r="B362" s="378" t="s">
        <v>830</v>
      </c>
      <c r="C362" s="379">
        <v>8.7034000000000002</v>
      </c>
      <c r="D362" s="379">
        <v>7.17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</row>
    <row r="363" spans="1:20" x14ac:dyDescent="0.25">
      <c r="A363" s="378" t="s">
        <v>20</v>
      </c>
      <c r="B363" s="378" t="s">
        <v>563</v>
      </c>
      <c r="C363" s="379">
        <v>63.8401</v>
      </c>
      <c r="D363" s="379">
        <v>52.6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</row>
    <row r="364" spans="1:20" x14ac:dyDescent="0.25">
      <c r="A364" s="378" t="s">
        <v>20</v>
      </c>
      <c r="B364" s="378" t="s">
        <v>564</v>
      </c>
      <c r="C364" s="379">
        <v>65.277799999999999</v>
      </c>
      <c r="D364" s="379">
        <v>53.78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</row>
    <row r="365" spans="1:20" x14ac:dyDescent="0.25">
      <c r="A365" s="378" t="s">
        <v>20</v>
      </c>
      <c r="B365" s="378" t="s">
        <v>565</v>
      </c>
      <c r="C365" s="379">
        <v>60.430300000000003</v>
      </c>
      <c r="D365" s="379">
        <v>49.79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0" x14ac:dyDescent="0.25">
      <c r="A366" s="378" t="s">
        <v>20</v>
      </c>
      <c r="B366" s="378" t="s">
        <v>47</v>
      </c>
      <c r="C366" s="379">
        <v>14.871700000000001</v>
      </c>
      <c r="D366" s="379">
        <v>12.25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</row>
    <row r="367" spans="1:20" x14ac:dyDescent="0.25">
      <c r="A367" s="378" t="s">
        <v>20</v>
      </c>
      <c r="B367" s="378" t="s">
        <v>647</v>
      </c>
      <c r="C367" s="379">
        <v>23.5152</v>
      </c>
      <c r="D367" s="379">
        <v>19.37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</row>
    <row r="368" spans="1:20" x14ac:dyDescent="0.25">
      <c r="A368" s="378" t="s">
        <v>20</v>
      </c>
      <c r="B368" s="378" t="s">
        <v>744</v>
      </c>
      <c r="C368" s="379">
        <v>27.207599999999999</v>
      </c>
      <c r="D368" s="379">
        <v>22.42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</row>
    <row r="369" spans="1:20" x14ac:dyDescent="0.25">
      <c r="A369" s="378" t="s">
        <v>20</v>
      </c>
      <c r="B369" s="378" t="s">
        <v>674</v>
      </c>
      <c r="C369" s="379">
        <v>17.4572</v>
      </c>
      <c r="D369" s="379">
        <v>14.38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</row>
    <row r="370" spans="1:20" x14ac:dyDescent="0.25">
      <c r="A370" s="378" t="s">
        <v>20</v>
      </c>
      <c r="B370" s="378" t="s">
        <v>675</v>
      </c>
      <c r="C370" s="379">
        <v>42.8504</v>
      </c>
      <c r="D370" s="379">
        <v>35.299999999999997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</row>
    <row r="371" spans="1:20" x14ac:dyDescent="0.25">
      <c r="A371" s="378" t="s">
        <v>20</v>
      </c>
      <c r="B371" s="378" t="s">
        <v>711</v>
      </c>
      <c r="C371" s="379">
        <v>23.767700000000001</v>
      </c>
      <c r="D371" s="379">
        <v>19.579999999999998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</row>
    <row r="372" spans="1:20" x14ac:dyDescent="0.25">
      <c r="A372" s="378" t="s">
        <v>20</v>
      </c>
      <c r="B372" s="378" t="s">
        <v>712</v>
      </c>
      <c r="C372" s="379">
        <v>41.969799999999999</v>
      </c>
      <c r="D372" s="379">
        <v>34.58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</row>
    <row r="373" spans="1:20" x14ac:dyDescent="0.25">
      <c r="A373" s="378" t="s">
        <v>20</v>
      </c>
      <c r="B373" s="378" t="s">
        <v>769</v>
      </c>
      <c r="C373" s="379">
        <v>15.101699999999999</v>
      </c>
      <c r="D373" s="379">
        <v>12.44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</row>
    <row r="374" spans="1:20" x14ac:dyDescent="0.25">
      <c r="A374" s="378" t="s">
        <v>20</v>
      </c>
      <c r="B374" s="378" t="s">
        <v>648</v>
      </c>
      <c r="C374" s="379">
        <v>17.720700000000001</v>
      </c>
      <c r="D374" s="379">
        <v>14.6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</row>
    <row r="375" spans="1:20" x14ac:dyDescent="0.25">
      <c r="A375" s="378" t="s">
        <v>20</v>
      </c>
      <c r="B375" s="378" t="s">
        <v>676</v>
      </c>
      <c r="C375" s="379">
        <v>40.257800000000003</v>
      </c>
      <c r="D375" s="379">
        <v>33.17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</row>
    <row r="376" spans="1:20" x14ac:dyDescent="0.25">
      <c r="A376" s="378" t="s">
        <v>20</v>
      </c>
      <c r="B376" s="378" t="s">
        <v>677</v>
      </c>
      <c r="C376" s="379">
        <v>42.145299999999999</v>
      </c>
      <c r="D376" s="379">
        <v>34.72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</row>
    <row r="377" spans="1:20" s="257" customFormat="1" x14ac:dyDescent="0.25">
      <c r="A377" s="378" t="s">
        <v>20</v>
      </c>
      <c r="B377" s="378" t="s">
        <v>678</v>
      </c>
      <c r="C377" s="379">
        <v>28.603400000000001</v>
      </c>
      <c r="D377" s="379">
        <v>23.57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</row>
    <row r="378" spans="1:20" x14ac:dyDescent="0.25">
      <c r="A378" s="378" t="s">
        <v>20</v>
      </c>
      <c r="B378" s="378" t="s">
        <v>679</v>
      </c>
      <c r="C378" s="379">
        <v>27.112200000000001</v>
      </c>
      <c r="D378" s="379">
        <v>22.34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</row>
    <row r="379" spans="1:20" x14ac:dyDescent="0.25">
      <c r="A379" s="378" t="s">
        <v>20</v>
      </c>
      <c r="B379" s="378" t="s">
        <v>403</v>
      </c>
      <c r="C379" s="379">
        <v>264.64280000000002</v>
      </c>
      <c r="D379" s="379">
        <v>218.03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</row>
    <row r="380" spans="1:20" x14ac:dyDescent="0.25">
      <c r="A380" s="378" t="s">
        <v>20</v>
      </c>
      <c r="B380" s="378" t="s">
        <v>404</v>
      </c>
      <c r="C380" s="379">
        <v>286.04599999999999</v>
      </c>
      <c r="D380" s="379">
        <v>235.66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</row>
    <row r="381" spans="1:20" x14ac:dyDescent="0.25">
      <c r="A381" s="378" t="s">
        <v>20</v>
      </c>
      <c r="B381" s="378" t="s">
        <v>680</v>
      </c>
      <c r="C381" s="379">
        <v>268.95080000000002</v>
      </c>
      <c r="D381" s="379">
        <v>221.58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</row>
    <row r="382" spans="1:20" x14ac:dyDescent="0.25">
      <c r="A382" s="378" t="s">
        <v>20</v>
      </c>
      <c r="B382" s="378" t="s">
        <v>508</v>
      </c>
      <c r="C382" s="379">
        <v>10.2182</v>
      </c>
      <c r="D382" s="379">
        <v>8.42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</row>
    <row r="383" spans="1:20" x14ac:dyDescent="0.25">
      <c r="A383" s="378" t="s">
        <v>20</v>
      </c>
      <c r="B383" s="378" t="s">
        <v>509</v>
      </c>
      <c r="C383" s="379">
        <v>200.34460000000001</v>
      </c>
      <c r="D383" s="379">
        <v>165.06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</row>
    <row r="384" spans="1:20" x14ac:dyDescent="0.25">
      <c r="A384" s="378" t="s">
        <v>20</v>
      </c>
      <c r="B384" s="378" t="s">
        <v>566</v>
      </c>
      <c r="C384" s="379">
        <v>107.8797</v>
      </c>
      <c r="D384" s="379">
        <v>88.88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</row>
    <row r="385" spans="1:20" x14ac:dyDescent="0.25">
      <c r="A385" s="378" t="s">
        <v>20</v>
      </c>
      <c r="B385" s="378" t="s">
        <v>567</v>
      </c>
      <c r="C385" s="379">
        <v>23.238800000000001</v>
      </c>
      <c r="D385" s="379">
        <v>19.149999999999999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</row>
    <row r="386" spans="1:20" x14ac:dyDescent="0.25">
      <c r="A386" s="378" t="s">
        <v>20</v>
      </c>
      <c r="B386" s="378" t="s">
        <v>802</v>
      </c>
      <c r="C386" s="379">
        <v>0.83120000000000005</v>
      </c>
      <c r="D386" s="379">
        <v>0.68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</row>
    <row r="387" spans="1:20" x14ac:dyDescent="0.25">
      <c r="A387" s="378" t="s">
        <v>20</v>
      </c>
      <c r="B387" s="378" t="s">
        <v>520</v>
      </c>
      <c r="C387" s="379">
        <v>73.428600000000003</v>
      </c>
      <c r="D387" s="379">
        <v>60.5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spans="1:20" s="319" customFormat="1" x14ac:dyDescent="0.25">
      <c r="A388" s="378" t="s">
        <v>20</v>
      </c>
      <c r="B388" s="378" t="s">
        <v>349</v>
      </c>
      <c r="C388" s="379">
        <v>29.374500000000001</v>
      </c>
      <c r="D388" s="379">
        <v>24.2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</row>
    <row r="389" spans="1:20" s="319" customFormat="1" x14ac:dyDescent="0.25">
      <c r="A389" s="378" t="s">
        <v>20</v>
      </c>
      <c r="B389" s="378" t="s">
        <v>344</v>
      </c>
      <c r="C389" s="379">
        <v>21.214700000000001</v>
      </c>
      <c r="D389" s="379">
        <v>17.48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</row>
    <row r="390" spans="1:20" s="319" customFormat="1" x14ac:dyDescent="0.25">
      <c r="A390" s="378" t="s">
        <v>20</v>
      </c>
      <c r="B390" s="378" t="s">
        <v>346</v>
      </c>
      <c r="C390" s="379">
        <v>19.6188</v>
      </c>
      <c r="D390" s="379">
        <v>16.16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</row>
    <row r="391" spans="1:20" s="319" customFormat="1" x14ac:dyDescent="0.25">
      <c r="A391" s="378" t="s">
        <v>20</v>
      </c>
      <c r="B391" s="378" t="s">
        <v>351</v>
      </c>
      <c r="C391" s="379">
        <v>36.616399999999999</v>
      </c>
      <c r="D391" s="379">
        <v>30.17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</row>
    <row r="392" spans="1:20" s="319" customFormat="1" x14ac:dyDescent="0.25">
      <c r="A392" s="378" t="s">
        <v>20</v>
      </c>
      <c r="B392" s="378" t="s">
        <v>345</v>
      </c>
      <c r="C392" s="379">
        <v>25.3719</v>
      </c>
      <c r="D392" s="379">
        <v>20.9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</row>
    <row r="393" spans="1:20" s="319" customFormat="1" x14ac:dyDescent="0.25">
      <c r="A393" s="378" t="s">
        <v>20</v>
      </c>
      <c r="B393" s="378" t="s">
        <v>459</v>
      </c>
      <c r="C393" s="379">
        <v>17.082100000000001</v>
      </c>
      <c r="D393" s="379">
        <v>14.07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</row>
    <row r="394" spans="1:20" s="319" customFormat="1" x14ac:dyDescent="0.25">
      <c r="A394" s="378" t="s">
        <v>20</v>
      </c>
      <c r="B394" s="378" t="s">
        <v>347</v>
      </c>
      <c r="C394" s="379">
        <v>20.240500000000001</v>
      </c>
      <c r="D394" s="379">
        <v>16.68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</row>
    <row r="395" spans="1:20" s="319" customFormat="1" x14ac:dyDescent="0.25">
      <c r="A395" s="378" t="s">
        <v>20</v>
      </c>
      <c r="B395" s="378" t="s">
        <v>348</v>
      </c>
      <c r="C395" s="379">
        <v>13.072800000000001</v>
      </c>
      <c r="D395" s="379">
        <v>10.77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</row>
    <row r="396" spans="1:20" s="319" customFormat="1" x14ac:dyDescent="0.25">
      <c r="A396" s="378" t="s">
        <v>20</v>
      </c>
      <c r="B396" s="378" t="s">
        <v>568</v>
      </c>
      <c r="C396" s="379">
        <v>21.497499999999999</v>
      </c>
      <c r="D396" s="379">
        <v>17.71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</row>
    <row r="397" spans="1:20" s="319" customFormat="1" x14ac:dyDescent="0.25">
      <c r="A397" s="378" t="s">
        <v>20</v>
      </c>
      <c r="B397" s="378" t="s">
        <v>493</v>
      </c>
      <c r="C397" s="379">
        <v>132.11330000000001</v>
      </c>
      <c r="D397" s="379">
        <v>108.84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</row>
    <row r="398" spans="1:20" s="319" customFormat="1" x14ac:dyDescent="0.25">
      <c r="A398" s="378" t="s">
        <v>20</v>
      </c>
      <c r="B398" s="378" t="s">
        <v>770</v>
      </c>
      <c r="C398" s="379">
        <v>80.229900000000001</v>
      </c>
      <c r="D398" s="379">
        <v>66.099999999999994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</row>
    <row r="399" spans="1:20" s="319" customFormat="1" x14ac:dyDescent="0.25">
      <c r="A399" s="378" t="s">
        <v>20</v>
      </c>
      <c r="B399" s="378" t="s">
        <v>28</v>
      </c>
      <c r="C399" s="379">
        <v>11.6297</v>
      </c>
      <c r="D399" s="379">
        <v>9.58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</row>
    <row r="400" spans="1:20" s="319" customFormat="1" x14ac:dyDescent="0.25">
      <c r="A400" s="378" t="s">
        <v>20</v>
      </c>
      <c r="B400" s="378" t="s">
        <v>824</v>
      </c>
      <c r="C400" s="379">
        <v>6.8000000000000005E-2</v>
      </c>
      <c r="D400" s="379">
        <v>0.06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</row>
    <row r="401" spans="1:20" s="319" customFormat="1" x14ac:dyDescent="0.25">
      <c r="A401" s="378" t="s">
        <v>20</v>
      </c>
      <c r="B401" s="378" t="s">
        <v>29</v>
      </c>
      <c r="C401" s="379">
        <v>8.2000000000000003E-2</v>
      </c>
      <c r="D401" s="379">
        <v>7.0000000000000007E-2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</row>
    <row r="402" spans="1:20" s="319" customFormat="1" x14ac:dyDescent="0.25">
      <c r="A402" s="378" t="s">
        <v>20</v>
      </c>
      <c r="B402" s="378" t="s">
        <v>436</v>
      </c>
      <c r="C402" s="379">
        <v>112.2034</v>
      </c>
      <c r="D402" s="379">
        <v>92.44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</row>
    <row r="403" spans="1:20" s="319" customFormat="1" x14ac:dyDescent="0.25">
      <c r="A403" s="378" t="s">
        <v>20</v>
      </c>
      <c r="B403" s="378" t="s">
        <v>48</v>
      </c>
      <c r="C403" s="379">
        <v>440.32389999999998</v>
      </c>
      <c r="D403" s="379">
        <v>362.77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</row>
    <row r="404" spans="1:20" s="325" customFormat="1" x14ac:dyDescent="0.25">
      <c r="A404" s="378" t="s">
        <v>20</v>
      </c>
      <c r="B404" s="378" t="s">
        <v>681</v>
      </c>
      <c r="C404" s="379">
        <v>4.4432</v>
      </c>
      <c r="D404" s="379">
        <v>3.66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</row>
    <row r="405" spans="1:20" s="325" customFormat="1" x14ac:dyDescent="0.25">
      <c r="A405" s="378" t="s">
        <v>20</v>
      </c>
      <c r="B405" s="378" t="s">
        <v>682</v>
      </c>
      <c r="C405" s="379">
        <v>2.827</v>
      </c>
      <c r="D405" s="379">
        <v>2.33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</row>
    <row r="406" spans="1:20" s="325" customFormat="1" x14ac:dyDescent="0.25">
      <c r="A406" s="378" t="s">
        <v>20</v>
      </c>
      <c r="B406" s="378" t="s">
        <v>771</v>
      </c>
      <c r="C406" s="379">
        <v>4.2465999999999999</v>
      </c>
      <c r="D406" s="379">
        <v>3.5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</row>
    <row r="407" spans="1:20" s="325" customFormat="1" x14ac:dyDescent="0.25">
      <c r="A407" s="378" t="s">
        <v>20</v>
      </c>
      <c r="B407" s="378" t="s">
        <v>831</v>
      </c>
      <c r="C407" s="379">
        <v>2.8628</v>
      </c>
      <c r="D407" s="379">
        <v>2.36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</row>
    <row r="408" spans="1:20" s="325" customFormat="1" x14ac:dyDescent="0.25">
      <c r="A408" s="378" t="s">
        <v>20</v>
      </c>
      <c r="B408" s="378" t="s">
        <v>683</v>
      </c>
      <c r="C408" s="379">
        <v>2.7094999999999998</v>
      </c>
      <c r="D408" s="379">
        <v>2.23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</row>
    <row r="409" spans="1:20" s="319" customFormat="1" x14ac:dyDescent="0.25">
      <c r="A409" s="378" t="s">
        <v>20</v>
      </c>
      <c r="B409" s="378" t="s">
        <v>684</v>
      </c>
      <c r="C409" s="379">
        <v>4.3922999999999996</v>
      </c>
      <c r="D409" s="379">
        <v>3.62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</row>
    <row r="410" spans="1:20" s="319" customFormat="1" x14ac:dyDescent="0.25">
      <c r="A410" s="378" t="s">
        <v>20</v>
      </c>
      <c r="B410" s="378" t="s">
        <v>685</v>
      </c>
      <c r="C410" s="379">
        <v>5.1881000000000004</v>
      </c>
      <c r="D410" s="379">
        <v>4.2699999999999996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</row>
    <row r="411" spans="1:20" s="319" customFormat="1" x14ac:dyDescent="0.25">
      <c r="A411" s="378" t="s">
        <v>20</v>
      </c>
      <c r="B411" s="378" t="s">
        <v>745</v>
      </c>
      <c r="C411" s="379">
        <v>128.99350000000001</v>
      </c>
      <c r="D411" s="379">
        <v>106.27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</row>
    <row r="412" spans="1:20" s="319" customFormat="1" x14ac:dyDescent="0.25">
      <c r="A412" s="378" t="s">
        <v>20</v>
      </c>
      <c r="B412" s="378" t="s">
        <v>803</v>
      </c>
      <c r="C412" s="379">
        <v>400.93639999999999</v>
      </c>
      <c r="D412" s="379">
        <v>330.32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</row>
    <row r="413" spans="1:20" s="319" customFormat="1" x14ac:dyDescent="0.25">
      <c r="A413" s="378" t="s">
        <v>20</v>
      </c>
      <c r="B413" s="378" t="s">
        <v>49</v>
      </c>
      <c r="C413" s="379">
        <v>376.47919999999999</v>
      </c>
      <c r="D413" s="379">
        <v>310.17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</row>
    <row r="414" spans="1:20" s="319" customFormat="1" x14ac:dyDescent="0.25">
      <c r="A414" s="378" t="s">
        <v>20</v>
      </c>
      <c r="B414" s="378" t="s">
        <v>467</v>
      </c>
      <c r="C414" s="379">
        <v>23.653300000000002</v>
      </c>
      <c r="D414" s="379">
        <v>19.489999999999998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</row>
    <row r="415" spans="1:20" s="319" customFormat="1" x14ac:dyDescent="0.25">
      <c r="A415" s="378" t="s">
        <v>20</v>
      </c>
      <c r="B415" s="378" t="s">
        <v>713</v>
      </c>
      <c r="C415" s="379">
        <v>296.43450000000001</v>
      </c>
      <c r="D415" s="379">
        <v>244.22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  <row r="416" spans="1:20" s="319" customFormat="1" x14ac:dyDescent="0.25">
      <c r="A416" s="378" t="s">
        <v>20</v>
      </c>
      <c r="B416" s="378" t="s">
        <v>855</v>
      </c>
      <c r="C416" s="379">
        <v>7.9899999999999999E-2</v>
      </c>
      <c r="D416" s="379">
        <v>7.0000000000000007E-2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20" s="319" customFormat="1" x14ac:dyDescent="0.25">
      <c r="A417" s="378" t="s">
        <v>20</v>
      </c>
      <c r="B417" s="378" t="s">
        <v>481</v>
      </c>
      <c r="C417" s="379">
        <v>109.8609</v>
      </c>
      <c r="D417" s="379">
        <v>90.51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</row>
    <row r="418" spans="1:20" s="319" customFormat="1" x14ac:dyDescent="0.25">
      <c r="A418" s="378" t="s">
        <v>20</v>
      </c>
      <c r="B418" s="378" t="s">
        <v>454</v>
      </c>
      <c r="C418" s="379">
        <v>26.495200000000001</v>
      </c>
      <c r="D418" s="379">
        <v>21.83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</row>
    <row r="419" spans="1:20" s="319" customFormat="1" x14ac:dyDescent="0.25">
      <c r="A419" s="378" t="s">
        <v>20</v>
      </c>
      <c r="B419" s="378" t="s">
        <v>513</v>
      </c>
      <c r="C419" s="379">
        <v>172.8938</v>
      </c>
      <c r="D419" s="379">
        <v>142.44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</row>
    <row r="420" spans="1:20" s="319" customFormat="1" x14ac:dyDescent="0.25">
      <c r="A420" s="378" t="s">
        <v>20</v>
      </c>
      <c r="B420" s="378" t="s">
        <v>569</v>
      </c>
      <c r="C420" s="379">
        <v>108.8737</v>
      </c>
      <c r="D420" s="379">
        <v>89.7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</row>
    <row r="421" spans="1:20" s="319" customFormat="1" x14ac:dyDescent="0.25">
      <c r="A421" s="378" t="s">
        <v>20</v>
      </c>
      <c r="B421" s="378" t="s">
        <v>570</v>
      </c>
      <c r="C421" s="379">
        <v>85.764300000000006</v>
      </c>
      <c r="D421" s="379">
        <v>70.66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</row>
    <row r="422" spans="1:20" s="319" customFormat="1" x14ac:dyDescent="0.25">
      <c r="A422" s="378" t="s">
        <v>20</v>
      </c>
      <c r="B422" s="378" t="s">
        <v>686</v>
      </c>
      <c r="C422" s="379">
        <v>51.295900000000003</v>
      </c>
      <c r="D422" s="379">
        <v>42.26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</row>
    <row r="423" spans="1:20" s="319" customFormat="1" x14ac:dyDescent="0.25">
      <c r="A423" s="378" t="s">
        <v>20</v>
      </c>
      <c r="B423" s="378" t="s">
        <v>571</v>
      </c>
      <c r="C423" s="379">
        <v>26.163799999999998</v>
      </c>
      <c r="D423" s="379">
        <v>21.56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s="319" customFormat="1" x14ac:dyDescent="0.25">
      <c r="A424" s="378" t="s">
        <v>20</v>
      </c>
      <c r="B424" s="378" t="s">
        <v>479</v>
      </c>
      <c r="C424" s="379">
        <v>99.0167</v>
      </c>
      <c r="D424" s="379">
        <v>81.58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</row>
    <row r="425" spans="1:20" s="319" customFormat="1" x14ac:dyDescent="0.25">
      <c r="A425" s="378" t="s">
        <v>20</v>
      </c>
      <c r="B425" s="378" t="s">
        <v>572</v>
      </c>
      <c r="C425" s="379">
        <v>128.80459999999999</v>
      </c>
      <c r="D425" s="379">
        <v>106.12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  <row r="426" spans="1:20" s="319" customFormat="1" x14ac:dyDescent="0.25">
      <c r="A426" s="378" t="s">
        <v>20</v>
      </c>
      <c r="B426" s="378" t="s">
        <v>832</v>
      </c>
      <c r="C426" s="379">
        <v>580.46910000000003</v>
      </c>
      <c r="D426" s="379">
        <v>478.23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</row>
    <row r="427" spans="1:20" s="325" customFormat="1" x14ac:dyDescent="0.25">
      <c r="A427" s="378" t="s">
        <v>20</v>
      </c>
      <c r="B427" s="378" t="s">
        <v>833</v>
      </c>
      <c r="C427" s="379">
        <v>52.366399999999999</v>
      </c>
      <c r="D427" s="379">
        <v>43.14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</row>
    <row r="428" spans="1:20" s="319" customFormat="1" x14ac:dyDescent="0.25">
      <c r="A428" s="378" t="s">
        <v>20</v>
      </c>
      <c r="B428" s="378" t="s">
        <v>510</v>
      </c>
      <c r="C428" s="379">
        <v>411.08819999999997</v>
      </c>
      <c r="D428" s="379">
        <v>338.68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</row>
    <row r="429" spans="1:20" s="334" customFormat="1" x14ac:dyDescent="0.25">
      <c r="A429" s="378" t="s">
        <v>20</v>
      </c>
      <c r="B429" s="378" t="s">
        <v>804</v>
      </c>
      <c r="C429" s="379">
        <v>177.27449999999999</v>
      </c>
      <c r="D429" s="379">
        <v>146.05000000000001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spans="1:20" s="334" customFormat="1" x14ac:dyDescent="0.25">
      <c r="A430" s="378" t="s">
        <v>20</v>
      </c>
      <c r="B430" s="378" t="s">
        <v>614</v>
      </c>
      <c r="C430" s="379">
        <v>273.44400000000002</v>
      </c>
      <c r="D430" s="379">
        <v>225.28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spans="1:20" s="334" customFormat="1" x14ac:dyDescent="0.25">
      <c r="A431" s="378" t="s">
        <v>20</v>
      </c>
      <c r="B431" s="378" t="s">
        <v>805</v>
      </c>
      <c r="C431" s="379">
        <v>125.9294</v>
      </c>
      <c r="D431" s="379">
        <v>103.75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</row>
    <row r="432" spans="1:20" s="334" customFormat="1" x14ac:dyDescent="0.25">
      <c r="A432" s="378" t="s">
        <v>20</v>
      </c>
      <c r="B432" s="378" t="s">
        <v>478</v>
      </c>
      <c r="C432" s="379">
        <v>238.3511</v>
      </c>
      <c r="D432" s="379">
        <v>196.37</v>
      </c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</row>
    <row r="433" spans="1:20" s="334" customFormat="1" x14ac:dyDescent="0.25">
      <c r="A433" s="378" t="s">
        <v>20</v>
      </c>
      <c r="B433" s="378" t="s">
        <v>50</v>
      </c>
      <c r="C433" s="379">
        <v>608.77779999999996</v>
      </c>
      <c r="D433" s="379">
        <v>501.55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</row>
    <row r="434" spans="1:20" s="334" customFormat="1" x14ac:dyDescent="0.25">
      <c r="A434" s="378" t="s">
        <v>20</v>
      </c>
      <c r="B434" s="378" t="s">
        <v>511</v>
      </c>
      <c r="C434" s="379">
        <v>368.40499999999997</v>
      </c>
      <c r="D434" s="379">
        <v>303.52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</row>
    <row r="435" spans="1:20" s="334" customFormat="1" x14ac:dyDescent="0.25">
      <c r="A435" s="378" t="s">
        <v>20</v>
      </c>
      <c r="B435" s="378" t="s">
        <v>468</v>
      </c>
      <c r="C435" s="379">
        <v>118.4469</v>
      </c>
      <c r="D435" s="379">
        <v>97.58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</row>
    <row r="436" spans="1:20" s="334" customFormat="1" x14ac:dyDescent="0.25">
      <c r="A436" s="378" t="s">
        <v>20</v>
      </c>
      <c r="B436" s="378" t="s">
        <v>806</v>
      </c>
      <c r="C436" s="379">
        <v>282.86790000000002</v>
      </c>
      <c r="D436" s="379">
        <v>233.05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</row>
    <row r="437" spans="1:20" s="334" customFormat="1" x14ac:dyDescent="0.25">
      <c r="A437" s="378" t="s">
        <v>20</v>
      </c>
      <c r="B437" s="378" t="s">
        <v>573</v>
      </c>
      <c r="C437" s="379">
        <v>118.83029999999999</v>
      </c>
      <c r="D437" s="379">
        <v>97.9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</row>
    <row r="438" spans="1:20" s="334" customFormat="1" x14ac:dyDescent="0.25">
      <c r="A438" s="378" t="s">
        <v>20</v>
      </c>
      <c r="B438" s="378" t="s">
        <v>615</v>
      </c>
      <c r="C438" s="379">
        <v>172.62809999999999</v>
      </c>
      <c r="D438" s="379">
        <v>142.22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</row>
    <row r="439" spans="1:20" s="334" customFormat="1" x14ac:dyDescent="0.25">
      <c r="A439" s="378" t="s">
        <v>20</v>
      </c>
      <c r="B439" s="378" t="s">
        <v>512</v>
      </c>
      <c r="C439" s="379">
        <v>122.6405</v>
      </c>
      <c r="D439" s="379">
        <v>101.04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</row>
    <row r="440" spans="1:20" s="334" customFormat="1" x14ac:dyDescent="0.25">
      <c r="A440" s="378" t="s">
        <v>20</v>
      </c>
      <c r="B440" s="378" t="s">
        <v>616</v>
      </c>
      <c r="C440" s="379">
        <v>104.706</v>
      </c>
      <c r="D440" s="379">
        <v>86.26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</row>
    <row r="441" spans="1:20" s="334" customFormat="1" x14ac:dyDescent="0.25">
      <c r="A441" s="378" t="s">
        <v>20</v>
      </c>
      <c r="B441" s="378" t="s">
        <v>435</v>
      </c>
      <c r="C441" s="379">
        <v>59.997999999999998</v>
      </c>
      <c r="D441" s="379">
        <v>49.43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</row>
    <row r="442" spans="1:20" s="334" customFormat="1" x14ac:dyDescent="0.25">
      <c r="A442" s="378" t="s">
        <v>20</v>
      </c>
      <c r="B442" s="378" t="s">
        <v>687</v>
      </c>
      <c r="C442" s="379">
        <v>56.1905</v>
      </c>
      <c r="D442" s="379">
        <v>46.29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</row>
    <row r="443" spans="1:20" s="334" customFormat="1" x14ac:dyDescent="0.25">
      <c r="A443" s="378" t="s">
        <v>20</v>
      </c>
      <c r="B443" s="378" t="s">
        <v>574</v>
      </c>
      <c r="C443" s="379">
        <v>84.861099999999993</v>
      </c>
      <c r="D443" s="379">
        <v>69.91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</row>
    <row r="444" spans="1:20" s="334" customFormat="1" x14ac:dyDescent="0.25">
      <c r="A444" s="378" t="s">
        <v>20</v>
      </c>
      <c r="B444" s="378" t="s">
        <v>464</v>
      </c>
      <c r="C444" s="379">
        <v>168.46539999999999</v>
      </c>
      <c r="D444" s="379">
        <v>138.79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</row>
    <row r="445" spans="1:20" s="334" customFormat="1" x14ac:dyDescent="0.25">
      <c r="A445" s="378" t="s">
        <v>20</v>
      </c>
      <c r="B445" s="378" t="s">
        <v>807</v>
      </c>
      <c r="C445" s="379">
        <v>22.4453</v>
      </c>
      <c r="D445" s="379">
        <v>18.489999999999998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</row>
    <row r="446" spans="1:20" s="334" customFormat="1" x14ac:dyDescent="0.25">
      <c r="A446" s="378" t="s">
        <v>20</v>
      </c>
      <c r="B446" s="378" t="s">
        <v>514</v>
      </c>
      <c r="C446" s="379">
        <v>92.494900000000001</v>
      </c>
      <c r="D446" s="379">
        <v>76.2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</row>
    <row r="447" spans="1:20" s="334" customFormat="1" x14ac:dyDescent="0.25">
      <c r="A447" s="378" t="s">
        <v>20</v>
      </c>
      <c r="B447" s="378" t="s">
        <v>808</v>
      </c>
      <c r="C447" s="379">
        <v>1.2725</v>
      </c>
      <c r="D447" s="379">
        <v>1.05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</row>
    <row r="448" spans="1:20" s="334" customFormat="1" x14ac:dyDescent="0.25">
      <c r="A448" s="378" t="s">
        <v>20</v>
      </c>
      <c r="B448" s="378" t="s">
        <v>498</v>
      </c>
      <c r="C448" s="379">
        <v>122.9147</v>
      </c>
      <c r="D448" s="379">
        <v>101.27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</row>
    <row r="449" spans="1:20" s="334" customFormat="1" x14ac:dyDescent="0.25">
      <c r="A449" s="378" t="s">
        <v>20</v>
      </c>
      <c r="B449" s="378" t="s">
        <v>499</v>
      </c>
      <c r="C449" s="379">
        <v>144.8219</v>
      </c>
      <c r="D449" s="379">
        <v>119.31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</row>
    <row r="450" spans="1:20" s="334" customFormat="1" x14ac:dyDescent="0.25">
      <c r="A450" s="378" t="s">
        <v>20</v>
      </c>
      <c r="B450" s="378" t="s">
        <v>649</v>
      </c>
      <c r="C450" s="379">
        <v>165.25200000000001</v>
      </c>
      <c r="D450" s="379">
        <v>136.15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</row>
    <row r="451" spans="1:20" s="334" customFormat="1" x14ac:dyDescent="0.25">
      <c r="A451" s="378" t="s">
        <v>20</v>
      </c>
      <c r="B451" s="378" t="s">
        <v>497</v>
      </c>
      <c r="C451" s="379">
        <v>119.0669</v>
      </c>
      <c r="D451" s="379">
        <v>98.1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</row>
    <row r="452" spans="1:20" s="334" customFormat="1" x14ac:dyDescent="0.25">
      <c r="A452" s="378" t="s">
        <v>20</v>
      </c>
      <c r="B452" s="378" t="s">
        <v>492</v>
      </c>
      <c r="C452" s="379">
        <v>56.9129</v>
      </c>
      <c r="D452" s="379">
        <v>46.89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</row>
    <row r="453" spans="1:20" s="334" customFormat="1" x14ac:dyDescent="0.25">
      <c r="A453" s="378" t="s">
        <v>20</v>
      </c>
      <c r="B453" s="378" t="s">
        <v>486</v>
      </c>
      <c r="C453" s="379">
        <v>93.954400000000007</v>
      </c>
      <c r="D453" s="379">
        <v>77.41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</row>
    <row r="454" spans="1:20" s="345" customFormat="1" x14ac:dyDescent="0.25">
      <c r="A454" s="378" t="s">
        <v>20</v>
      </c>
      <c r="B454" s="378" t="s">
        <v>598</v>
      </c>
      <c r="C454" s="379">
        <v>47.652700000000003</v>
      </c>
      <c r="D454" s="379">
        <v>39.26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</row>
    <row r="455" spans="1:20" s="345" customFormat="1" x14ac:dyDescent="0.25">
      <c r="A455" s="378" t="s">
        <v>20</v>
      </c>
      <c r="B455" s="378" t="s">
        <v>51</v>
      </c>
      <c r="C455" s="379">
        <v>784.35339999999997</v>
      </c>
      <c r="D455" s="379">
        <v>646.20000000000005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</row>
    <row r="456" spans="1:20" s="345" customFormat="1" x14ac:dyDescent="0.25">
      <c r="A456" s="378" t="s">
        <v>20</v>
      </c>
      <c r="B456" s="378" t="s">
        <v>521</v>
      </c>
      <c r="C456" s="379">
        <v>286.9939</v>
      </c>
      <c r="D456" s="379">
        <v>236.45</v>
      </c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</row>
    <row r="457" spans="1:20" s="345" customFormat="1" x14ac:dyDescent="0.25">
      <c r="A457" s="378" t="s">
        <v>20</v>
      </c>
      <c r="B457" s="378" t="s">
        <v>714</v>
      </c>
      <c r="C457" s="379">
        <v>53.806199999999997</v>
      </c>
      <c r="D457" s="379">
        <v>44.33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</row>
    <row r="458" spans="1:20" s="345" customFormat="1" x14ac:dyDescent="0.25">
      <c r="A458" s="378" t="s">
        <v>20</v>
      </c>
      <c r="B458" s="378" t="s">
        <v>809</v>
      </c>
      <c r="C458" s="379">
        <v>92.35</v>
      </c>
      <c r="D458" s="379">
        <v>76.08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</row>
    <row r="459" spans="1:20" s="345" customFormat="1" x14ac:dyDescent="0.25">
      <c r="A459" s="378" t="s">
        <v>20</v>
      </c>
      <c r="B459" s="378" t="s">
        <v>30</v>
      </c>
      <c r="C459" s="379">
        <v>265.72140000000002</v>
      </c>
      <c r="D459" s="379">
        <v>218.92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</row>
    <row r="460" spans="1:20" s="345" customFormat="1" x14ac:dyDescent="0.25">
      <c r="A460" s="378" t="s">
        <v>20</v>
      </c>
      <c r="B460" s="378" t="s">
        <v>396</v>
      </c>
      <c r="C460" s="379">
        <v>592.15639999999996</v>
      </c>
      <c r="D460" s="379">
        <v>487.86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20" s="345" customFormat="1" x14ac:dyDescent="0.25">
      <c r="A461" s="378" t="s">
        <v>20</v>
      </c>
      <c r="B461" s="378" t="s">
        <v>810</v>
      </c>
      <c r="C461" s="379">
        <v>46.506100000000004</v>
      </c>
      <c r="D461" s="379">
        <v>38.31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</row>
    <row r="462" spans="1:20" s="345" customFormat="1" x14ac:dyDescent="0.25">
      <c r="A462" s="378" t="s">
        <v>20</v>
      </c>
      <c r="B462" s="378" t="s">
        <v>856</v>
      </c>
      <c r="C462" s="379">
        <v>23.664899999999999</v>
      </c>
      <c r="D462" s="379">
        <v>19.5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</row>
    <row r="463" spans="1:20" s="345" customFormat="1" x14ac:dyDescent="0.25">
      <c r="A463" s="378" t="s">
        <v>20</v>
      </c>
      <c r="B463" s="378" t="s">
        <v>746</v>
      </c>
      <c r="C463" s="379">
        <v>4.2572000000000001</v>
      </c>
      <c r="D463" s="379">
        <v>3.51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</row>
    <row r="464" spans="1:20" s="345" customFormat="1" x14ac:dyDescent="0.25">
      <c r="A464" s="378" t="s">
        <v>20</v>
      </c>
      <c r="B464" s="378" t="s">
        <v>811</v>
      </c>
      <c r="C464" s="379">
        <v>5.7234999999999996</v>
      </c>
      <c r="D464" s="379">
        <v>4.72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</row>
    <row r="465" spans="1:20" s="345" customFormat="1" x14ac:dyDescent="0.25">
      <c r="A465" s="378" t="s">
        <v>20</v>
      </c>
      <c r="B465" s="378" t="s">
        <v>857</v>
      </c>
      <c r="C465" s="379">
        <v>10.3591</v>
      </c>
      <c r="D465" s="379">
        <v>8.5299999999999994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</row>
    <row r="466" spans="1:20" s="334" customFormat="1" x14ac:dyDescent="0.25">
      <c r="A466" s="378" t="s">
        <v>20</v>
      </c>
      <c r="B466" s="378" t="s">
        <v>355</v>
      </c>
      <c r="C466" s="379">
        <v>172.84389999999999</v>
      </c>
      <c r="D466" s="379">
        <v>142.4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</row>
    <row r="467" spans="1:20" x14ac:dyDescent="0.25">
      <c r="A467" s="378" t="s">
        <v>20</v>
      </c>
      <c r="B467" s="378" t="s">
        <v>575</v>
      </c>
      <c r="C467" s="379">
        <v>204.86709999999999</v>
      </c>
      <c r="D467" s="379">
        <v>168.78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</row>
    <row r="468" spans="1:20" x14ac:dyDescent="0.25">
      <c r="A468" s="378" t="s">
        <v>20</v>
      </c>
      <c r="B468" s="378" t="s">
        <v>480</v>
      </c>
      <c r="C468" s="379">
        <v>124.3223</v>
      </c>
      <c r="D468" s="379">
        <v>102.43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</row>
    <row r="469" spans="1:20" x14ac:dyDescent="0.25">
      <c r="A469" s="378" t="s">
        <v>20</v>
      </c>
      <c r="B469" s="378" t="s">
        <v>650</v>
      </c>
      <c r="C469" s="379">
        <v>198.02340000000001</v>
      </c>
      <c r="D469" s="379">
        <v>163.15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</row>
    <row r="470" spans="1:20" x14ac:dyDescent="0.25">
      <c r="A470" s="378" t="s">
        <v>20</v>
      </c>
      <c r="B470" s="378" t="s">
        <v>576</v>
      </c>
      <c r="C470" s="379">
        <v>338.33539999999999</v>
      </c>
      <c r="D470" s="379">
        <v>278.74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</row>
    <row r="471" spans="1:20" x14ac:dyDescent="0.25">
      <c r="A471" s="378" t="s">
        <v>20</v>
      </c>
      <c r="B471" s="378" t="s">
        <v>394</v>
      </c>
      <c r="C471" s="379">
        <v>575.53909999999996</v>
      </c>
      <c r="D471" s="379">
        <v>474.17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spans="1:20" x14ac:dyDescent="0.25">
      <c r="A472" s="378" t="s">
        <v>20</v>
      </c>
      <c r="B472" s="378" t="s">
        <v>515</v>
      </c>
      <c r="C472" s="379">
        <v>84.628299999999996</v>
      </c>
      <c r="D472" s="379">
        <v>69.72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</row>
    <row r="473" spans="1:20" x14ac:dyDescent="0.25">
      <c r="A473" s="378" t="s">
        <v>20</v>
      </c>
      <c r="B473" s="378" t="s">
        <v>651</v>
      </c>
      <c r="C473" s="379">
        <v>4570.2443000000003</v>
      </c>
      <c r="D473" s="379">
        <v>3765.28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spans="1:20" x14ac:dyDescent="0.25">
      <c r="A474" s="378" t="s">
        <v>20</v>
      </c>
      <c r="B474" s="378" t="s">
        <v>577</v>
      </c>
      <c r="C474" s="379">
        <v>219.01419999999999</v>
      </c>
      <c r="D474" s="379">
        <v>180.44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</row>
    <row r="475" spans="1:20" x14ac:dyDescent="0.25">
      <c r="A475" s="378" t="s">
        <v>20</v>
      </c>
      <c r="B475" s="378" t="s">
        <v>458</v>
      </c>
      <c r="C475" s="379">
        <v>105.3045</v>
      </c>
      <c r="D475" s="379">
        <v>86.76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</row>
    <row r="476" spans="1:20" x14ac:dyDescent="0.25">
      <c r="A476" s="378" t="s">
        <v>20</v>
      </c>
      <c r="B476" s="378" t="s">
        <v>455</v>
      </c>
      <c r="C476" s="379">
        <v>297.98239999999998</v>
      </c>
      <c r="D476" s="379">
        <v>245.5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</row>
    <row r="477" spans="1:20" x14ac:dyDescent="0.25">
      <c r="A477" s="378" t="s">
        <v>20</v>
      </c>
      <c r="B477" s="378" t="s">
        <v>599</v>
      </c>
      <c r="C477" s="379">
        <v>174.83070000000001</v>
      </c>
      <c r="D477" s="379">
        <v>144.04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</row>
    <row r="478" spans="1:20" x14ac:dyDescent="0.25">
      <c r="A478" s="378" t="s">
        <v>20</v>
      </c>
      <c r="B478" s="378" t="s">
        <v>600</v>
      </c>
      <c r="C478" s="379">
        <v>102.9143</v>
      </c>
      <c r="D478" s="379">
        <v>84.79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</row>
    <row r="479" spans="1:20" x14ac:dyDescent="0.25">
      <c r="A479" s="378" t="s">
        <v>20</v>
      </c>
      <c r="B479" s="378" t="s">
        <v>578</v>
      </c>
      <c r="C479" s="379">
        <v>190.52430000000001</v>
      </c>
      <c r="D479" s="379">
        <v>156.97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</row>
    <row r="480" spans="1:20" x14ac:dyDescent="0.25">
      <c r="A480" s="378" t="s">
        <v>20</v>
      </c>
      <c r="B480" s="378" t="s">
        <v>601</v>
      </c>
      <c r="C480" s="379">
        <v>172.0376</v>
      </c>
      <c r="D480" s="379">
        <v>141.74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</row>
    <row r="481" spans="1:20" x14ac:dyDescent="0.25">
      <c r="A481" s="378" t="s">
        <v>20</v>
      </c>
      <c r="B481" s="378" t="s">
        <v>602</v>
      </c>
      <c r="C481" s="379">
        <v>206.72890000000001</v>
      </c>
      <c r="D481" s="379">
        <v>170.32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</row>
    <row r="482" spans="1:20" x14ac:dyDescent="0.25">
      <c r="A482" s="378" t="s">
        <v>20</v>
      </c>
      <c r="B482" s="378" t="s">
        <v>617</v>
      </c>
      <c r="C482" s="379">
        <v>200.2381</v>
      </c>
      <c r="D482" s="379">
        <v>164.97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</row>
    <row r="483" spans="1:20" x14ac:dyDescent="0.25">
      <c r="A483" s="378" t="s">
        <v>20</v>
      </c>
      <c r="B483" s="378" t="s">
        <v>812</v>
      </c>
      <c r="C483" s="379">
        <v>16.578099999999999</v>
      </c>
      <c r="D483" s="379">
        <v>13.66</v>
      </c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</row>
    <row r="484" spans="1:20" x14ac:dyDescent="0.25">
      <c r="A484" s="378" t="s">
        <v>20</v>
      </c>
      <c r="B484" s="378" t="s">
        <v>813</v>
      </c>
      <c r="C484" s="379">
        <v>20.242699999999999</v>
      </c>
      <c r="D484" s="379">
        <v>16.68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</row>
    <row r="485" spans="1:20" x14ac:dyDescent="0.25">
      <c r="A485" s="378" t="s">
        <v>20</v>
      </c>
      <c r="B485" s="378" t="s">
        <v>456</v>
      </c>
      <c r="C485" s="379">
        <v>286.30349999999999</v>
      </c>
      <c r="D485" s="379">
        <v>235.88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</row>
    <row r="486" spans="1:20" x14ac:dyDescent="0.25">
      <c r="A486" s="378" t="s">
        <v>20</v>
      </c>
      <c r="B486" s="378" t="s">
        <v>457</v>
      </c>
      <c r="C486" s="379">
        <v>123.6778</v>
      </c>
      <c r="D486" s="379">
        <v>101.89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</row>
    <row r="487" spans="1:20" x14ac:dyDescent="0.25">
      <c r="A487" s="378" t="s">
        <v>20</v>
      </c>
      <c r="B487" s="378" t="s">
        <v>52</v>
      </c>
      <c r="C487" s="379">
        <v>251.27520000000001</v>
      </c>
      <c r="D487" s="379">
        <v>207.02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</row>
    <row r="488" spans="1:20" x14ac:dyDescent="0.25">
      <c r="A488" s="378" t="s">
        <v>20</v>
      </c>
      <c r="B488" s="378" t="s">
        <v>402</v>
      </c>
      <c r="C488" s="379">
        <v>50.999400000000001</v>
      </c>
      <c r="D488" s="379">
        <v>42.02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</row>
    <row r="489" spans="1:20" x14ac:dyDescent="0.25">
      <c r="A489" s="378" t="s">
        <v>20</v>
      </c>
      <c r="B489" s="378" t="s">
        <v>53</v>
      </c>
      <c r="C489" s="379">
        <v>598.69349999999997</v>
      </c>
      <c r="D489" s="379">
        <v>493.24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</row>
    <row r="490" spans="1:20" x14ac:dyDescent="0.25">
      <c r="A490" s="378" t="s">
        <v>20</v>
      </c>
      <c r="B490" s="378" t="s">
        <v>54</v>
      </c>
      <c r="C490" s="379">
        <v>787.26009999999997</v>
      </c>
      <c r="D490" s="379">
        <v>648.6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</row>
    <row r="491" spans="1:20" x14ac:dyDescent="0.25">
      <c r="A491" s="378" t="s">
        <v>20</v>
      </c>
      <c r="B491" s="378" t="s">
        <v>55</v>
      </c>
      <c r="C491" s="379">
        <v>188.95410000000001</v>
      </c>
      <c r="D491" s="379">
        <v>155.66999999999999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</row>
    <row r="492" spans="1:20" x14ac:dyDescent="0.25">
      <c r="A492" s="378" t="s">
        <v>20</v>
      </c>
      <c r="B492" s="378" t="s">
        <v>56</v>
      </c>
      <c r="C492" s="379">
        <v>257.25490000000002</v>
      </c>
      <c r="D492" s="379">
        <v>211.94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</row>
    <row r="493" spans="1:20" x14ac:dyDescent="0.25">
      <c r="A493" s="378" t="s">
        <v>20</v>
      </c>
      <c r="B493" s="378" t="s">
        <v>603</v>
      </c>
      <c r="C493" s="379">
        <v>112.7914</v>
      </c>
      <c r="D493" s="379">
        <v>92.93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</row>
    <row r="494" spans="1:20" x14ac:dyDescent="0.25">
      <c r="A494" s="378" t="s">
        <v>20</v>
      </c>
      <c r="B494" s="378" t="s">
        <v>772</v>
      </c>
      <c r="C494" s="379">
        <v>1590.6677</v>
      </c>
      <c r="D494" s="379">
        <v>1310.5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</row>
    <row r="495" spans="1:20" x14ac:dyDescent="0.25">
      <c r="A495" s="378" t="s">
        <v>20</v>
      </c>
      <c r="B495" s="378" t="s">
        <v>773</v>
      </c>
      <c r="C495" s="379">
        <v>1015.7764</v>
      </c>
      <c r="D495" s="379">
        <v>836.87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</row>
    <row r="496" spans="1:20" x14ac:dyDescent="0.25">
      <c r="A496" s="378" t="s">
        <v>20</v>
      </c>
      <c r="B496" s="378" t="s">
        <v>31</v>
      </c>
      <c r="C496" s="379">
        <v>5.9066000000000001</v>
      </c>
      <c r="D496" s="379">
        <v>4.87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</row>
    <row r="497" spans="1:20" x14ac:dyDescent="0.25">
      <c r="A497" s="378" t="s">
        <v>20</v>
      </c>
      <c r="B497" s="378" t="s">
        <v>477</v>
      </c>
      <c r="C497" s="379">
        <v>213.43</v>
      </c>
      <c r="D497" s="379">
        <v>175.84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</row>
    <row r="498" spans="1:20" x14ac:dyDescent="0.25">
      <c r="A498" s="378" t="s">
        <v>20</v>
      </c>
      <c r="B498" s="378" t="s">
        <v>618</v>
      </c>
      <c r="C498" s="379">
        <v>241.94739999999999</v>
      </c>
      <c r="D498" s="379">
        <v>199.33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</row>
    <row r="499" spans="1:20" x14ac:dyDescent="0.25">
      <c r="A499" s="378" t="s">
        <v>20</v>
      </c>
      <c r="B499" s="378" t="s">
        <v>652</v>
      </c>
      <c r="C499" s="379">
        <v>45.774500000000003</v>
      </c>
      <c r="D499" s="379">
        <v>37.71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</row>
    <row r="500" spans="1:20" x14ac:dyDescent="0.25">
      <c r="A500" s="378" t="s">
        <v>20</v>
      </c>
      <c r="B500" s="378" t="s">
        <v>604</v>
      </c>
      <c r="C500" s="379">
        <v>153.24700000000001</v>
      </c>
      <c r="D500" s="379">
        <v>126.26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</row>
    <row r="501" spans="1:20" x14ac:dyDescent="0.25">
      <c r="A501" s="378" t="s">
        <v>20</v>
      </c>
      <c r="B501" s="378" t="s">
        <v>516</v>
      </c>
      <c r="C501" s="379">
        <v>185.69710000000001</v>
      </c>
      <c r="D501" s="379">
        <v>152.99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  <row r="502" spans="1:20" x14ac:dyDescent="0.25">
      <c r="A502" s="378" t="s">
        <v>20</v>
      </c>
      <c r="B502" s="378" t="s">
        <v>579</v>
      </c>
      <c r="C502" s="379">
        <v>157.3999</v>
      </c>
      <c r="D502" s="379">
        <v>129.68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</row>
    <row r="503" spans="1:20" x14ac:dyDescent="0.25">
      <c r="A503" s="378" t="s">
        <v>20</v>
      </c>
      <c r="B503" s="378" t="s">
        <v>580</v>
      </c>
      <c r="C503" s="379">
        <v>267.48200000000003</v>
      </c>
      <c r="D503" s="379">
        <v>220.37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</row>
    <row r="504" spans="1:20" x14ac:dyDescent="0.25">
      <c r="A504" s="378" t="s">
        <v>20</v>
      </c>
      <c r="B504" s="378" t="s">
        <v>581</v>
      </c>
      <c r="C504" s="379">
        <v>164.8092</v>
      </c>
      <c r="D504" s="379">
        <v>135.78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</row>
    <row r="505" spans="1:20" x14ac:dyDescent="0.25">
      <c r="A505" s="378" t="s">
        <v>20</v>
      </c>
      <c r="B505" s="378" t="s">
        <v>582</v>
      </c>
      <c r="C505" s="379">
        <v>864.88869999999997</v>
      </c>
      <c r="D505" s="379">
        <v>712.55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</row>
    <row r="506" spans="1:20" x14ac:dyDescent="0.25">
      <c r="A506" s="378" t="s">
        <v>20</v>
      </c>
      <c r="B506" s="378" t="s">
        <v>688</v>
      </c>
      <c r="C506" s="379">
        <v>405.02350000000001</v>
      </c>
      <c r="D506" s="379">
        <v>333.69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</row>
    <row r="507" spans="1:20" x14ac:dyDescent="0.25">
      <c r="A507" s="378" t="s">
        <v>20</v>
      </c>
      <c r="B507" s="378" t="s">
        <v>605</v>
      </c>
      <c r="C507" s="379">
        <v>199.72710000000001</v>
      </c>
      <c r="D507" s="379">
        <v>164.55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</row>
    <row r="508" spans="1:20" x14ac:dyDescent="0.25">
      <c r="A508" s="378" t="s">
        <v>20</v>
      </c>
      <c r="B508" s="378" t="s">
        <v>619</v>
      </c>
      <c r="C508" s="379">
        <v>107.06619999999999</v>
      </c>
      <c r="D508" s="379">
        <v>88.21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</row>
    <row r="509" spans="1:20" x14ac:dyDescent="0.25">
      <c r="A509" s="378" t="s">
        <v>20</v>
      </c>
      <c r="B509" s="378" t="s">
        <v>689</v>
      </c>
      <c r="C509" s="379">
        <v>171.8425</v>
      </c>
      <c r="D509" s="379">
        <v>141.58000000000001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</row>
    <row r="510" spans="1:20" x14ac:dyDescent="0.25">
      <c r="A510" s="378" t="s">
        <v>20</v>
      </c>
      <c r="B510" s="378" t="s">
        <v>620</v>
      </c>
      <c r="C510" s="379">
        <v>281.91109999999998</v>
      </c>
      <c r="D510" s="379">
        <v>232.26</v>
      </c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</row>
    <row r="511" spans="1:20" x14ac:dyDescent="0.25">
      <c r="A511" s="378" t="s">
        <v>20</v>
      </c>
      <c r="B511" s="378" t="s">
        <v>441</v>
      </c>
      <c r="C511" s="379">
        <v>75.041499999999999</v>
      </c>
      <c r="D511" s="379">
        <v>61.82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</row>
    <row r="512" spans="1:20" x14ac:dyDescent="0.25">
      <c r="A512" s="378" t="s">
        <v>20</v>
      </c>
      <c r="B512" s="378" t="s">
        <v>362</v>
      </c>
      <c r="C512" s="379">
        <v>35.209699999999998</v>
      </c>
      <c r="D512" s="379">
        <v>29.01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</row>
    <row r="513" spans="1:20" x14ac:dyDescent="0.25">
      <c r="A513" s="378" t="s">
        <v>20</v>
      </c>
      <c r="B513" s="378" t="s">
        <v>57</v>
      </c>
      <c r="C513" s="379">
        <v>618.37220000000002</v>
      </c>
      <c r="D513" s="379">
        <v>509.46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</row>
    <row r="514" spans="1:20" x14ac:dyDescent="0.25">
      <c r="A514" s="378" t="s">
        <v>20</v>
      </c>
      <c r="B514" s="378" t="s">
        <v>58</v>
      </c>
      <c r="C514" s="379">
        <v>317.08339999999998</v>
      </c>
      <c r="D514" s="379">
        <v>261.23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spans="1:20" x14ac:dyDescent="0.25">
      <c r="A515" s="378" t="s">
        <v>20</v>
      </c>
      <c r="B515" s="378" t="s">
        <v>814</v>
      </c>
      <c r="C515" s="379">
        <v>50.3645</v>
      </c>
      <c r="D515" s="379">
        <v>41.49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</row>
    <row r="516" spans="1:20" x14ac:dyDescent="0.25">
      <c r="A516" s="378" t="s">
        <v>20</v>
      </c>
      <c r="B516" s="378" t="s">
        <v>834</v>
      </c>
      <c r="C516" s="379">
        <v>34.969299999999997</v>
      </c>
      <c r="D516" s="379">
        <v>28.81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spans="1:20" x14ac:dyDescent="0.25">
      <c r="A517" s="378" t="s">
        <v>20</v>
      </c>
      <c r="B517" s="378" t="s">
        <v>835</v>
      </c>
      <c r="C517" s="379">
        <v>39.206200000000003</v>
      </c>
      <c r="D517" s="379">
        <v>32.299999999999997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</row>
    <row r="518" spans="1:20" x14ac:dyDescent="0.25">
      <c r="A518" s="378" t="s">
        <v>20</v>
      </c>
      <c r="B518" s="378" t="s">
        <v>836</v>
      </c>
      <c r="C518" s="379">
        <v>44.297800000000002</v>
      </c>
      <c r="D518" s="379">
        <v>36.5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</row>
    <row r="519" spans="1:20" x14ac:dyDescent="0.25">
      <c r="A519" s="378" t="s">
        <v>20</v>
      </c>
      <c r="B519" s="378" t="s">
        <v>837</v>
      </c>
      <c r="C519" s="379">
        <v>25.128399999999999</v>
      </c>
      <c r="D519" s="379">
        <v>20.7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</row>
    <row r="520" spans="1:20" x14ac:dyDescent="0.25">
      <c r="A520" s="378" t="s">
        <v>20</v>
      </c>
      <c r="B520" s="378" t="s">
        <v>838</v>
      </c>
      <c r="C520" s="379">
        <v>8.7148000000000003</v>
      </c>
      <c r="D520" s="379">
        <v>7.18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</row>
    <row r="521" spans="1:20" x14ac:dyDescent="0.25">
      <c r="A521" s="378" t="s">
        <v>20</v>
      </c>
      <c r="B521" s="378" t="s">
        <v>858</v>
      </c>
      <c r="C521" s="379">
        <v>2.0876000000000001</v>
      </c>
      <c r="D521" s="379">
        <v>1.72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</row>
    <row r="522" spans="1:20" x14ac:dyDescent="0.25">
      <c r="A522" s="378" t="s">
        <v>20</v>
      </c>
      <c r="B522" s="378" t="s">
        <v>839</v>
      </c>
      <c r="C522" s="379">
        <v>4.8578999999999999</v>
      </c>
      <c r="D522" s="379">
        <v>4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</row>
    <row r="523" spans="1:20" x14ac:dyDescent="0.25">
      <c r="A523" s="378" t="s">
        <v>20</v>
      </c>
      <c r="B523" s="378" t="s">
        <v>774</v>
      </c>
      <c r="C523" s="379">
        <v>80.365300000000005</v>
      </c>
      <c r="D523" s="379">
        <v>66.209999999999994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</row>
    <row r="524" spans="1:20" x14ac:dyDescent="0.25">
      <c r="A524" s="378" t="s">
        <v>20</v>
      </c>
      <c r="B524" s="378" t="s">
        <v>583</v>
      </c>
      <c r="C524" s="379">
        <v>286.91750000000002</v>
      </c>
      <c r="D524" s="379">
        <v>236.38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</row>
    <row r="525" spans="1:20" x14ac:dyDescent="0.25">
      <c r="A525" s="378" t="s">
        <v>20</v>
      </c>
      <c r="B525" s="378" t="s">
        <v>606</v>
      </c>
      <c r="C525" s="379">
        <v>43.688099999999999</v>
      </c>
      <c r="D525" s="379">
        <v>35.99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</row>
    <row r="526" spans="1:20" x14ac:dyDescent="0.25">
      <c r="A526" s="378" t="s">
        <v>20</v>
      </c>
      <c r="B526" s="378" t="s">
        <v>840</v>
      </c>
      <c r="C526" s="379">
        <v>42.613700000000001</v>
      </c>
      <c r="D526" s="379">
        <v>35.11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</row>
    <row r="527" spans="1:20" x14ac:dyDescent="0.25">
      <c r="A527" s="378" t="s">
        <v>20</v>
      </c>
      <c r="B527" s="378" t="s">
        <v>841</v>
      </c>
      <c r="C527" s="379">
        <v>228.59010000000001</v>
      </c>
      <c r="D527" s="379">
        <v>188.33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</row>
    <row r="528" spans="1:20" x14ac:dyDescent="0.25">
      <c r="A528" s="378" t="s">
        <v>20</v>
      </c>
      <c r="B528" s="378" t="s">
        <v>460</v>
      </c>
      <c r="C528" s="379">
        <v>230.0361</v>
      </c>
      <c r="D528" s="379">
        <v>189.52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</row>
    <row r="529" spans="1:20" x14ac:dyDescent="0.25">
      <c r="A529" s="378" t="s">
        <v>20</v>
      </c>
      <c r="B529" s="378" t="s">
        <v>584</v>
      </c>
      <c r="C529" s="379">
        <v>8.8215000000000003</v>
      </c>
      <c r="D529" s="379">
        <v>7.27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</row>
    <row r="530" spans="1:20" x14ac:dyDescent="0.25">
      <c r="A530" s="378" t="s">
        <v>20</v>
      </c>
      <c r="B530" s="378" t="s">
        <v>430</v>
      </c>
      <c r="C530" s="379">
        <v>342.5727</v>
      </c>
      <c r="D530" s="379">
        <v>282.23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</row>
    <row r="531" spans="1:20" x14ac:dyDescent="0.25">
      <c r="A531" s="378" t="s">
        <v>20</v>
      </c>
      <c r="B531" s="378" t="s">
        <v>815</v>
      </c>
      <c r="C531" s="379">
        <v>11.647500000000001</v>
      </c>
      <c r="D531" s="379">
        <v>9.6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</row>
    <row r="532" spans="1:20" x14ac:dyDescent="0.25">
      <c r="A532" s="378" t="s">
        <v>20</v>
      </c>
      <c r="B532" s="378" t="s">
        <v>747</v>
      </c>
      <c r="C532" s="379">
        <v>3.7012999999999998</v>
      </c>
      <c r="D532" s="379">
        <v>3.05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</row>
    <row r="533" spans="1:20" x14ac:dyDescent="0.25">
      <c r="A533" s="378" t="s">
        <v>20</v>
      </c>
      <c r="B533" s="378" t="s">
        <v>352</v>
      </c>
      <c r="C533" s="379">
        <v>270.6232</v>
      </c>
      <c r="D533" s="379">
        <v>222.96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</row>
    <row r="534" spans="1:20" x14ac:dyDescent="0.25">
      <c r="A534" s="378" t="s">
        <v>20</v>
      </c>
      <c r="B534" s="378" t="s">
        <v>353</v>
      </c>
      <c r="C534" s="379">
        <v>369.47340000000003</v>
      </c>
      <c r="D534" s="379">
        <v>304.39999999999998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</row>
    <row r="535" spans="1:20" x14ac:dyDescent="0.25">
      <c r="A535" s="378" t="s">
        <v>20</v>
      </c>
      <c r="B535" s="378" t="s">
        <v>488</v>
      </c>
      <c r="C535" s="379">
        <v>91.546000000000006</v>
      </c>
      <c r="D535" s="379">
        <v>75.42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</row>
    <row r="536" spans="1:20" x14ac:dyDescent="0.25">
      <c r="A536" s="378" t="s">
        <v>20</v>
      </c>
      <c r="B536" s="378" t="s">
        <v>816</v>
      </c>
      <c r="C536" s="379">
        <v>156.0343</v>
      </c>
      <c r="D536" s="379">
        <v>128.55000000000001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</row>
    <row r="537" spans="1:20" x14ac:dyDescent="0.25">
      <c r="A537" s="378" t="s">
        <v>20</v>
      </c>
      <c r="B537" s="378" t="s">
        <v>32</v>
      </c>
      <c r="C537" s="379">
        <v>105.2704</v>
      </c>
      <c r="D537" s="379">
        <v>86.73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</row>
    <row r="538" spans="1:20" x14ac:dyDescent="0.25">
      <c r="A538" s="378" t="s">
        <v>20</v>
      </c>
      <c r="B538" s="378" t="s">
        <v>33</v>
      </c>
      <c r="C538" s="379">
        <v>5.3483999999999998</v>
      </c>
      <c r="D538" s="379">
        <v>4.41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</row>
    <row r="539" spans="1:20" x14ac:dyDescent="0.25">
      <c r="A539" s="378" t="s">
        <v>20</v>
      </c>
      <c r="B539" s="378" t="s">
        <v>34</v>
      </c>
      <c r="C539" s="379">
        <v>4.6132999999999997</v>
      </c>
      <c r="D539" s="379">
        <v>3.8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</row>
    <row r="540" spans="1:20" x14ac:dyDescent="0.25">
      <c r="A540" s="378" t="s">
        <v>20</v>
      </c>
      <c r="B540" s="378" t="s">
        <v>519</v>
      </c>
      <c r="C540" s="379">
        <v>20.325900000000001</v>
      </c>
      <c r="D540" s="379">
        <v>16.75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</row>
    <row r="541" spans="1:20" x14ac:dyDescent="0.25">
      <c r="A541" s="378" t="s">
        <v>20</v>
      </c>
      <c r="B541" s="378" t="s">
        <v>440</v>
      </c>
      <c r="C541" s="379">
        <v>99.278099999999995</v>
      </c>
      <c r="D541" s="379">
        <v>81.790000000000006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</row>
    <row r="542" spans="1:20" x14ac:dyDescent="0.25">
      <c r="A542" s="378" t="s">
        <v>20</v>
      </c>
      <c r="B542" s="378" t="s">
        <v>748</v>
      </c>
      <c r="C542" s="379">
        <v>198.68600000000001</v>
      </c>
      <c r="D542" s="379">
        <v>163.69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</row>
    <row r="543" spans="1:20" x14ac:dyDescent="0.25">
      <c r="A543" s="378" t="s">
        <v>20</v>
      </c>
      <c r="B543" s="378" t="s">
        <v>749</v>
      </c>
      <c r="C543" s="379">
        <v>33.867199999999997</v>
      </c>
      <c r="D543" s="379">
        <v>27.9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</row>
    <row r="544" spans="1:20" x14ac:dyDescent="0.25">
      <c r="A544" s="378" t="s">
        <v>20</v>
      </c>
      <c r="B544" s="378" t="s">
        <v>750</v>
      </c>
      <c r="C544" s="379">
        <v>1.4873000000000001</v>
      </c>
      <c r="D544" s="379">
        <v>1.23</v>
      </c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</row>
    <row r="545" spans="1:20" x14ac:dyDescent="0.25">
      <c r="A545" s="378" t="s">
        <v>20</v>
      </c>
      <c r="B545" s="378" t="s">
        <v>751</v>
      </c>
      <c r="C545" s="379">
        <v>2.5764</v>
      </c>
      <c r="D545" s="379">
        <v>2.12</v>
      </c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</row>
    <row r="546" spans="1:20" x14ac:dyDescent="0.25">
      <c r="A546" s="378" t="s">
        <v>20</v>
      </c>
      <c r="B546" s="378" t="s">
        <v>752</v>
      </c>
      <c r="C546" s="379">
        <v>7.6692999999999998</v>
      </c>
      <c r="D546" s="379">
        <v>6.32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</row>
    <row r="547" spans="1:20" x14ac:dyDescent="0.25">
      <c r="A547" s="378" t="s">
        <v>20</v>
      </c>
      <c r="B547" s="378" t="s">
        <v>753</v>
      </c>
      <c r="C547" s="379">
        <v>6.3460000000000001</v>
      </c>
      <c r="D547" s="379">
        <v>5.23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</row>
    <row r="548" spans="1:20" x14ac:dyDescent="0.25">
      <c r="A548" s="378" t="s">
        <v>20</v>
      </c>
      <c r="B548" s="378" t="s">
        <v>653</v>
      </c>
      <c r="C548" s="379">
        <v>306.57760000000002</v>
      </c>
      <c r="D548" s="379">
        <v>252.58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</row>
    <row r="549" spans="1:20" x14ac:dyDescent="0.25">
      <c r="A549" s="378" t="s">
        <v>20</v>
      </c>
      <c r="B549" s="378" t="s">
        <v>585</v>
      </c>
      <c r="C549" s="379">
        <v>55.904299999999999</v>
      </c>
      <c r="D549" s="379">
        <v>46.06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</row>
    <row r="550" spans="1:20" x14ac:dyDescent="0.25">
      <c r="A550" s="378" t="s">
        <v>20</v>
      </c>
      <c r="B550" s="378" t="s">
        <v>690</v>
      </c>
      <c r="C550" s="379">
        <v>64.5839</v>
      </c>
      <c r="D550" s="379">
        <v>53.21</v>
      </c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</row>
    <row r="551" spans="1:20" x14ac:dyDescent="0.25">
      <c r="A551" s="378" t="s">
        <v>20</v>
      </c>
      <c r="B551" s="378" t="s">
        <v>775</v>
      </c>
      <c r="C551" s="379">
        <v>133.57749999999999</v>
      </c>
      <c r="D551" s="379">
        <v>110.05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</row>
    <row r="552" spans="1:20" x14ac:dyDescent="0.25">
      <c r="A552" s="378" t="s">
        <v>20</v>
      </c>
      <c r="B552" s="378" t="s">
        <v>586</v>
      </c>
      <c r="C552" s="379">
        <v>103.8121</v>
      </c>
      <c r="D552" s="379">
        <v>85.53</v>
      </c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</row>
    <row r="553" spans="1:20" x14ac:dyDescent="0.25">
      <c r="A553" s="378" t="s">
        <v>20</v>
      </c>
      <c r="B553" s="378" t="s">
        <v>691</v>
      </c>
      <c r="C553" s="379">
        <v>58.085700000000003</v>
      </c>
      <c r="D553" s="379">
        <v>47.85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</row>
    <row r="554" spans="1:20" x14ac:dyDescent="0.25">
      <c r="A554" s="378" t="s">
        <v>20</v>
      </c>
      <c r="B554" s="378" t="s">
        <v>776</v>
      </c>
      <c r="C554" s="379">
        <v>27.673999999999999</v>
      </c>
      <c r="D554" s="379">
        <v>22.8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</row>
    <row r="555" spans="1:20" x14ac:dyDescent="0.25">
      <c r="A555" s="378" t="s">
        <v>20</v>
      </c>
      <c r="B555" s="378" t="s">
        <v>587</v>
      </c>
      <c r="C555" s="379">
        <v>1623.9631999999999</v>
      </c>
      <c r="D555" s="379">
        <v>1337.93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</row>
    <row r="556" spans="1:20" x14ac:dyDescent="0.25">
      <c r="A556" s="378" t="s">
        <v>20</v>
      </c>
      <c r="B556" s="378" t="s">
        <v>588</v>
      </c>
      <c r="C556" s="379">
        <v>58.2746</v>
      </c>
      <c r="D556" s="379">
        <v>48.01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</row>
    <row r="557" spans="1:20" x14ac:dyDescent="0.25">
      <c r="A557" s="378" t="s">
        <v>20</v>
      </c>
      <c r="B557" s="378" t="s">
        <v>692</v>
      </c>
      <c r="C557" s="379">
        <v>54.094999999999999</v>
      </c>
      <c r="D557" s="379">
        <v>44.57</v>
      </c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spans="1:20" x14ac:dyDescent="0.25">
      <c r="A558" s="378" t="s">
        <v>20</v>
      </c>
      <c r="B558" s="378" t="s">
        <v>693</v>
      </c>
      <c r="C558" s="379">
        <v>443.80130000000003</v>
      </c>
      <c r="D558" s="379">
        <v>365.63</v>
      </c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</row>
    <row r="559" spans="1:20" x14ac:dyDescent="0.25">
      <c r="A559" s="378" t="s">
        <v>20</v>
      </c>
      <c r="B559" s="378" t="s">
        <v>518</v>
      </c>
      <c r="C559" s="379">
        <v>41.658700000000003</v>
      </c>
      <c r="D559" s="379">
        <v>34.32</v>
      </c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spans="1:20" x14ac:dyDescent="0.25">
      <c r="A560" s="378" t="s">
        <v>20</v>
      </c>
      <c r="B560" s="378" t="s">
        <v>469</v>
      </c>
      <c r="C560" s="379">
        <v>2336.5077000000001</v>
      </c>
      <c r="D560" s="379">
        <v>1924.97</v>
      </c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</row>
    <row r="561" spans="1:20" x14ac:dyDescent="0.25">
      <c r="A561" s="378" t="s">
        <v>20</v>
      </c>
      <c r="B561" s="378" t="s">
        <v>715</v>
      </c>
      <c r="C561" s="379">
        <v>267.89699999999999</v>
      </c>
      <c r="D561" s="379">
        <v>220.71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</row>
    <row r="562" spans="1:20" x14ac:dyDescent="0.25">
      <c r="A562" s="378" t="s">
        <v>20</v>
      </c>
      <c r="B562" s="378" t="s">
        <v>716</v>
      </c>
      <c r="C562" s="379">
        <v>234.67140000000001</v>
      </c>
      <c r="D562" s="379">
        <v>193.34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</row>
    <row r="563" spans="1:20" x14ac:dyDescent="0.25">
      <c r="A563" s="378" t="s">
        <v>20</v>
      </c>
      <c r="B563" s="378" t="s">
        <v>817</v>
      </c>
      <c r="C563" s="379">
        <v>305.5172</v>
      </c>
      <c r="D563" s="379">
        <v>251.71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</row>
    <row r="564" spans="1:20" x14ac:dyDescent="0.25">
      <c r="A564" s="378" t="s">
        <v>20</v>
      </c>
      <c r="B564" s="378" t="s">
        <v>717</v>
      </c>
      <c r="C564" s="379">
        <v>32.4529</v>
      </c>
      <c r="D564" s="379">
        <v>26.74</v>
      </c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</row>
    <row r="565" spans="1:20" x14ac:dyDescent="0.25">
      <c r="A565" s="378" t="s">
        <v>20</v>
      </c>
      <c r="B565" s="378" t="s">
        <v>718</v>
      </c>
      <c r="C565" s="379">
        <v>220.44110000000001</v>
      </c>
      <c r="D565" s="379">
        <v>181.61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</row>
    <row r="566" spans="1:20" x14ac:dyDescent="0.25">
      <c r="A566" s="378" t="s">
        <v>20</v>
      </c>
      <c r="B566" s="378" t="s">
        <v>719</v>
      </c>
      <c r="C566" s="379">
        <v>229.8819</v>
      </c>
      <c r="D566" s="379">
        <v>189.39</v>
      </c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</row>
    <row r="567" spans="1:20" x14ac:dyDescent="0.25">
      <c r="A567" s="378" t="s">
        <v>20</v>
      </c>
      <c r="B567" s="378" t="s">
        <v>720</v>
      </c>
      <c r="C567" s="379">
        <v>229.53440000000001</v>
      </c>
      <c r="D567" s="379">
        <v>189.11</v>
      </c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</row>
    <row r="568" spans="1:20" x14ac:dyDescent="0.25">
      <c r="A568" s="378" t="s">
        <v>20</v>
      </c>
      <c r="B568" s="378" t="s">
        <v>59</v>
      </c>
      <c r="C568" s="379">
        <v>27.765699999999999</v>
      </c>
      <c r="D568" s="379">
        <v>22.88</v>
      </c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</row>
    <row r="569" spans="1:20" x14ac:dyDescent="0.25">
      <c r="A569" s="378" t="s">
        <v>20</v>
      </c>
      <c r="B569" s="378" t="s">
        <v>818</v>
      </c>
      <c r="C569" s="379">
        <v>204.34960000000001</v>
      </c>
      <c r="D569" s="379">
        <v>168.36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</row>
    <row r="570" spans="1:20" x14ac:dyDescent="0.25">
      <c r="A570" s="378" t="s">
        <v>20</v>
      </c>
      <c r="B570" s="378" t="s">
        <v>777</v>
      </c>
      <c r="C570" s="379">
        <v>186.96369999999999</v>
      </c>
      <c r="D570" s="379">
        <v>154.03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</row>
    <row r="571" spans="1:20" x14ac:dyDescent="0.25">
      <c r="A571" s="378" t="s">
        <v>20</v>
      </c>
      <c r="B571" s="378" t="s">
        <v>654</v>
      </c>
      <c r="C571" s="379">
        <v>91.626499999999993</v>
      </c>
      <c r="D571" s="379">
        <v>75.489999999999995</v>
      </c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</row>
    <row r="572" spans="1:20" x14ac:dyDescent="0.25">
      <c r="A572" s="378" t="s">
        <v>20</v>
      </c>
      <c r="B572" s="378" t="s">
        <v>694</v>
      </c>
      <c r="C572" s="379">
        <v>55.4129</v>
      </c>
      <c r="D572" s="379">
        <v>45.65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</row>
    <row r="573" spans="1:20" x14ac:dyDescent="0.25">
      <c r="A573" s="378" t="s">
        <v>20</v>
      </c>
      <c r="B573" s="378" t="s">
        <v>607</v>
      </c>
      <c r="C573" s="379">
        <v>218.1472</v>
      </c>
      <c r="D573" s="379">
        <v>179.72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</row>
    <row r="574" spans="1:20" x14ac:dyDescent="0.25">
      <c r="A574" s="378" t="s">
        <v>20</v>
      </c>
      <c r="B574" s="378" t="s">
        <v>589</v>
      </c>
      <c r="C574" s="379">
        <v>112.4298</v>
      </c>
      <c r="D574" s="379">
        <v>92.63</v>
      </c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</row>
    <row r="575" spans="1:20" x14ac:dyDescent="0.25">
      <c r="A575" s="378" t="s">
        <v>20</v>
      </c>
      <c r="B575" s="378" t="s">
        <v>859</v>
      </c>
      <c r="C575" s="379">
        <v>143.8955</v>
      </c>
      <c r="D575" s="379">
        <v>118.55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</row>
    <row r="576" spans="1:20" x14ac:dyDescent="0.25">
      <c r="A576" s="378" t="s">
        <v>20</v>
      </c>
      <c r="B576" s="378" t="s">
        <v>60</v>
      </c>
      <c r="C576" s="379">
        <v>775.84169999999995</v>
      </c>
      <c r="D576" s="379">
        <v>639.19000000000005</v>
      </c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</row>
    <row r="577" spans="1:20" x14ac:dyDescent="0.25">
      <c r="A577" s="378" t="s">
        <v>20</v>
      </c>
      <c r="B577" s="378" t="s">
        <v>61</v>
      </c>
      <c r="C577" s="379">
        <v>1641.857</v>
      </c>
      <c r="D577" s="379">
        <v>1352.67</v>
      </c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</row>
    <row r="578" spans="1:20" x14ac:dyDescent="0.25">
      <c r="A578" s="378" t="s">
        <v>20</v>
      </c>
      <c r="B578" s="378" t="s">
        <v>62</v>
      </c>
      <c r="C578" s="379">
        <v>1425.6541</v>
      </c>
      <c r="D578" s="379">
        <v>1174.55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</row>
    <row r="579" spans="1:20" x14ac:dyDescent="0.25">
      <c r="A579" s="378" t="s">
        <v>20</v>
      </c>
      <c r="B579" s="378" t="s">
        <v>655</v>
      </c>
      <c r="C579" s="379">
        <v>26.404499999999999</v>
      </c>
      <c r="D579" s="379">
        <v>21.75</v>
      </c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</row>
    <row r="580" spans="1:20" x14ac:dyDescent="0.25">
      <c r="A580" s="378" t="s">
        <v>20</v>
      </c>
      <c r="B580" s="378" t="s">
        <v>656</v>
      </c>
      <c r="C580" s="379">
        <v>113.1827</v>
      </c>
      <c r="D580" s="379">
        <v>93.25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</row>
    <row r="581" spans="1:20" x14ac:dyDescent="0.25">
      <c r="A581" s="378" t="s">
        <v>20</v>
      </c>
      <c r="B581" s="378" t="s">
        <v>494</v>
      </c>
      <c r="C581" s="379">
        <v>26.7136</v>
      </c>
      <c r="D581" s="379">
        <v>22.01</v>
      </c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</row>
    <row r="582" spans="1:20" x14ac:dyDescent="0.25">
      <c r="A582" s="378" t="s">
        <v>20</v>
      </c>
      <c r="B582" s="378" t="s">
        <v>439</v>
      </c>
      <c r="C582" s="379">
        <v>19.575199999999999</v>
      </c>
      <c r="D582" s="379">
        <v>16.13</v>
      </c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</row>
    <row r="583" spans="1:20" x14ac:dyDescent="0.25">
      <c r="A583" s="378" t="s">
        <v>20</v>
      </c>
      <c r="B583" s="378" t="s">
        <v>721</v>
      </c>
      <c r="C583" s="379">
        <v>194.40629999999999</v>
      </c>
      <c r="D583" s="379">
        <v>160.16999999999999</v>
      </c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</row>
    <row r="584" spans="1:20" x14ac:dyDescent="0.25">
      <c r="A584" s="378" t="s">
        <v>20</v>
      </c>
      <c r="B584" s="378" t="s">
        <v>590</v>
      </c>
      <c r="C584" s="379">
        <v>247.47450000000001</v>
      </c>
      <c r="D584" s="379">
        <v>203.89</v>
      </c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</row>
    <row r="585" spans="1:20" x14ac:dyDescent="0.25">
      <c r="A585" s="378" t="s">
        <v>20</v>
      </c>
      <c r="B585" s="378" t="s">
        <v>657</v>
      </c>
      <c r="C585" s="379">
        <v>143.59700000000001</v>
      </c>
      <c r="D585" s="379">
        <v>118.3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</row>
    <row r="586" spans="1:20" x14ac:dyDescent="0.25">
      <c r="A586" s="378" t="s">
        <v>20</v>
      </c>
      <c r="B586" s="378" t="s">
        <v>621</v>
      </c>
      <c r="C586" s="379">
        <v>187.9408</v>
      </c>
      <c r="D586" s="379">
        <v>154.84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</row>
    <row r="587" spans="1:20" x14ac:dyDescent="0.25">
      <c r="A587" s="378" t="s">
        <v>20</v>
      </c>
      <c r="B587" s="378" t="s">
        <v>658</v>
      </c>
      <c r="C587" s="379">
        <v>131.24080000000001</v>
      </c>
      <c r="D587" s="379">
        <v>108.13</v>
      </c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</row>
    <row r="588" spans="1:20" x14ac:dyDescent="0.25">
      <c r="A588" s="378" t="s">
        <v>20</v>
      </c>
      <c r="B588" s="378" t="s">
        <v>622</v>
      </c>
      <c r="C588" s="379">
        <v>148.06870000000001</v>
      </c>
      <c r="D588" s="379">
        <v>121.99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</row>
    <row r="589" spans="1:20" x14ac:dyDescent="0.25">
      <c r="A589" s="378" t="s">
        <v>20</v>
      </c>
      <c r="B589" s="378" t="s">
        <v>754</v>
      </c>
      <c r="C589" s="379">
        <v>117.6216</v>
      </c>
      <c r="D589" s="379">
        <v>96.9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</row>
    <row r="590" spans="1:20" x14ac:dyDescent="0.25">
      <c r="A590" s="378" t="s">
        <v>20</v>
      </c>
      <c r="B590" s="378" t="s">
        <v>722</v>
      </c>
      <c r="C590" s="379">
        <v>247.88470000000001</v>
      </c>
      <c r="D590" s="379">
        <v>204.22</v>
      </c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</row>
    <row r="591" spans="1:20" x14ac:dyDescent="0.25">
      <c r="A591" s="378" t="s">
        <v>20</v>
      </c>
      <c r="B591" s="378" t="s">
        <v>659</v>
      </c>
      <c r="C591" s="379">
        <v>75.848399999999998</v>
      </c>
      <c r="D591" s="379">
        <v>62.49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</row>
    <row r="592" spans="1:20" x14ac:dyDescent="0.25">
      <c r="A592" s="378" t="s">
        <v>20</v>
      </c>
      <c r="B592" s="378" t="s">
        <v>660</v>
      </c>
      <c r="C592" s="379">
        <v>123.1285</v>
      </c>
      <c r="D592" s="379">
        <v>101.44</v>
      </c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</row>
    <row r="593" spans="1:20" x14ac:dyDescent="0.25">
      <c r="A593" s="378" t="s">
        <v>20</v>
      </c>
      <c r="B593" s="378" t="s">
        <v>623</v>
      </c>
      <c r="C593" s="379">
        <v>216.69059999999999</v>
      </c>
      <c r="D593" s="379">
        <v>178.52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</row>
    <row r="594" spans="1:20" x14ac:dyDescent="0.25">
      <c r="A594" s="378" t="s">
        <v>20</v>
      </c>
      <c r="B594" s="378" t="s">
        <v>624</v>
      </c>
      <c r="C594" s="379">
        <v>234.5249</v>
      </c>
      <c r="D594" s="379">
        <v>193.22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</row>
    <row r="595" spans="1:20" x14ac:dyDescent="0.25">
      <c r="A595" s="378" t="s">
        <v>20</v>
      </c>
      <c r="B595" s="378" t="s">
        <v>625</v>
      </c>
      <c r="C595" s="379">
        <v>121.0365</v>
      </c>
      <c r="D595" s="379">
        <v>99.72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</row>
    <row r="596" spans="1:20" x14ac:dyDescent="0.25">
      <c r="A596" s="378" t="s">
        <v>20</v>
      </c>
      <c r="B596" s="378" t="s">
        <v>755</v>
      </c>
      <c r="C596" s="379">
        <v>157.27019999999999</v>
      </c>
      <c r="D596" s="379">
        <v>129.57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</row>
    <row r="597" spans="1:20" x14ac:dyDescent="0.25">
      <c r="A597" s="378" t="s">
        <v>20</v>
      </c>
      <c r="B597" s="378" t="s">
        <v>695</v>
      </c>
      <c r="C597" s="379">
        <v>81.662199999999999</v>
      </c>
      <c r="D597" s="379">
        <v>67.28</v>
      </c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</row>
    <row r="598" spans="1:20" x14ac:dyDescent="0.25">
      <c r="A598" s="378" t="s">
        <v>20</v>
      </c>
      <c r="B598" s="378" t="s">
        <v>696</v>
      </c>
      <c r="C598" s="379">
        <v>192.42250000000001</v>
      </c>
      <c r="D598" s="379">
        <v>158.53</v>
      </c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</row>
    <row r="599" spans="1:20" x14ac:dyDescent="0.25">
      <c r="A599" s="378" t="s">
        <v>20</v>
      </c>
      <c r="B599" s="378" t="s">
        <v>723</v>
      </c>
      <c r="C599" s="379">
        <v>120.8262</v>
      </c>
      <c r="D599" s="379">
        <v>99.54</v>
      </c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</row>
    <row r="600" spans="1:20" x14ac:dyDescent="0.25">
      <c r="A600" s="378" t="s">
        <v>20</v>
      </c>
      <c r="B600" s="378" t="s">
        <v>626</v>
      </c>
      <c r="C600" s="379">
        <v>21.583400000000001</v>
      </c>
      <c r="D600" s="379">
        <v>17.78</v>
      </c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spans="1:20" x14ac:dyDescent="0.25">
      <c r="A601" s="378" t="s">
        <v>20</v>
      </c>
      <c r="B601" s="378" t="s">
        <v>661</v>
      </c>
      <c r="C601" s="379">
        <v>100.66249999999999</v>
      </c>
      <c r="D601" s="379">
        <v>82.93</v>
      </c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</row>
    <row r="602" spans="1:20" x14ac:dyDescent="0.25">
      <c r="A602" s="378" t="s">
        <v>20</v>
      </c>
      <c r="B602" s="378" t="s">
        <v>627</v>
      </c>
      <c r="C602" s="379">
        <v>130.68629999999999</v>
      </c>
      <c r="D602" s="379">
        <v>107.67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spans="1:20" x14ac:dyDescent="0.25">
      <c r="A603" s="378" t="s">
        <v>20</v>
      </c>
      <c r="B603" s="378" t="s">
        <v>628</v>
      </c>
      <c r="C603" s="379">
        <v>58.566699999999997</v>
      </c>
      <c r="D603" s="379">
        <v>48.25</v>
      </c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</row>
    <row r="604" spans="1:20" x14ac:dyDescent="0.25">
      <c r="A604" s="378" t="s">
        <v>20</v>
      </c>
      <c r="B604" s="378" t="s">
        <v>697</v>
      </c>
      <c r="C604" s="379">
        <v>47.5809</v>
      </c>
      <c r="D604" s="379">
        <v>39.200000000000003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</row>
    <row r="605" spans="1:20" x14ac:dyDescent="0.25">
      <c r="A605" s="378" t="s">
        <v>20</v>
      </c>
      <c r="B605" s="378" t="s">
        <v>698</v>
      </c>
      <c r="C605" s="379">
        <v>121.2243</v>
      </c>
      <c r="D605" s="379">
        <v>99.87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</row>
    <row r="606" spans="1:20" x14ac:dyDescent="0.25">
      <c r="A606" s="378" t="s">
        <v>20</v>
      </c>
      <c r="B606" s="378" t="s">
        <v>724</v>
      </c>
      <c r="C606" s="379">
        <v>230.345</v>
      </c>
      <c r="D606" s="379">
        <v>189.77</v>
      </c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</row>
    <row r="607" spans="1:20" x14ac:dyDescent="0.25">
      <c r="A607" s="378" t="s">
        <v>20</v>
      </c>
      <c r="B607" s="378" t="s">
        <v>756</v>
      </c>
      <c r="C607" s="379">
        <v>80.127300000000005</v>
      </c>
      <c r="D607" s="379">
        <v>66.010000000000005</v>
      </c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</row>
    <row r="608" spans="1:20" x14ac:dyDescent="0.25">
      <c r="A608" s="378" t="s">
        <v>20</v>
      </c>
      <c r="B608" s="378" t="s">
        <v>699</v>
      </c>
      <c r="C608" s="379">
        <v>63.157699999999998</v>
      </c>
      <c r="D608" s="379">
        <v>52.03</v>
      </c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</row>
    <row r="609" spans="1:20" x14ac:dyDescent="0.25">
      <c r="A609" s="378" t="s">
        <v>20</v>
      </c>
      <c r="B609" s="378" t="s">
        <v>662</v>
      </c>
      <c r="C609" s="379">
        <v>152.97559999999999</v>
      </c>
      <c r="D609" s="379">
        <v>126.03</v>
      </c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</row>
    <row r="610" spans="1:20" x14ac:dyDescent="0.25">
      <c r="A610" s="378" t="s">
        <v>20</v>
      </c>
      <c r="B610" s="378" t="s">
        <v>663</v>
      </c>
      <c r="C610" s="379">
        <v>100.5371</v>
      </c>
      <c r="D610" s="379">
        <v>82.83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</row>
    <row r="611" spans="1:20" x14ac:dyDescent="0.25">
      <c r="A611" s="378" t="s">
        <v>20</v>
      </c>
      <c r="B611" s="378" t="s">
        <v>725</v>
      </c>
      <c r="C611" s="379">
        <v>169.03190000000001</v>
      </c>
      <c r="D611" s="379">
        <v>139.26</v>
      </c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</row>
    <row r="612" spans="1:20" x14ac:dyDescent="0.25">
      <c r="A612" s="378" t="s">
        <v>20</v>
      </c>
      <c r="B612" s="378" t="s">
        <v>726</v>
      </c>
      <c r="C612" s="379">
        <v>133.1738</v>
      </c>
      <c r="D612" s="379">
        <v>109.72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</row>
    <row r="613" spans="1:20" x14ac:dyDescent="0.25">
      <c r="A613" s="378" t="s">
        <v>20</v>
      </c>
      <c r="B613" s="378" t="s">
        <v>664</v>
      </c>
      <c r="C613" s="379">
        <v>169.54750000000001</v>
      </c>
      <c r="D613" s="379">
        <v>139.68</v>
      </c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</row>
    <row r="614" spans="1:20" x14ac:dyDescent="0.25">
      <c r="A614" s="378" t="s">
        <v>20</v>
      </c>
      <c r="B614" s="378" t="s">
        <v>727</v>
      </c>
      <c r="C614" s="379">
        <v>182.6438</v>
      </c>
      <c r="D614" s="379">
        <v>150.47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</row>
    <row r="615" spans="1:20" x14ac:dyDescent="0.25">
      <c r="A615" s="378" t="s">
        <v>20</v>
      </c>
      <c r="B615" s="378" t="s">
        <v>629</v>
      </c>
      <c r="C615" s="379">
        <v>139.9358</v>
      </c>
      <c r="D615" s="379">
        <v>115.29</v>
      </c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</row>
    <row r="616" spans="1:20" x14ac:dyDescent="0.25">
      <c r="A616" s="378" t="s">
        <v>20</v>
      </c>
      <c r="B616" s="378" t="s">
        <v>860</v>
      </c>
      <c r="C616" s="379">
        <v>244.03749999999999</v>
      </c>
      <c r="D616" s="379">
        <v>201.05</v>
      </c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</row>
    <row r="617" spans="1:20" x14ac:dyDescent="0.25">
      <c r="A617" s="378" t="s">
        <v>20</v>
      </c>
      <c r="B617" s="378" t="s">
        <v>700</v>
      </c>
      <c r="C617" s="379">
        <v>64.1357</v>
      </c>
      <c r="D617" s="379">
        <v>52.84</v>
      </c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</row>
    <row r="618" spans="1:20" x14ac:dyDescent="0.25">
      <c r="A618" s="378" t="s">
        <v>20</v>
      </c>
      <c r="B618" s="378" t="s">
        <v>701</v>
      </c>
      <c r="C618" s="379">
        <v>135.37710000000001</v>
      </c>
      <c r="D618" s="379">
        <v>111.53</v>
      </c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</row>
    <row r="619" spans="1:20" x14ac:dyDescent="0.25">
      <c r="A619" s="378" t="s">
        <v>20</v>
      </c>
      <c r="B619" s="378" t="s">
        <v>757</v>
      </c>
      <c r="C619" s="379">
        <v>102.7422</v>
      </c>
      <c r="D619" s="379">
        <v>84.65</v>
      </c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</row>
    <row r="620" spans="1:20" x14ac:dyDescent="0.25">
      <c r="A620" s="378" t="s">
        <v>20</v>
      </c>
      <c r="B620" s="378" t="s">
        <v>728</v>
      </c>
      <c r="C620" s="379">
        <v>76.160600000000002</v>
      </c>
      <c r="D620" s="379">
        <v>62.75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</row>
    <row r="621" spans="1:20" x14ac:dyDescent="0.25">
      <c r="A621" s="378" t="s">
        <v>20</v>
      </c>
      <c r="B621" s="378" t="s">
        <v>729</v>
      </c>
      <c r="C621" s="379">
        <v>142.90049999999999</v>
      </c>
      <c r="D621" s="379">
        <v>117.73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</row>
    <row r="622" spans="1:20" x14ac:dyDescent="0.25">
      <c r="A622" s="378" t="s">
        <v>20</v>
      </c>
      <c r="B622" s="378" t="s">
        <v>730</v>
      </c>
      <c r="C622" s="379">
        <v>52.3459</v>
      </c>
      <c r="D622" s="379">
        <v>43.13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</row>
    <row r="623" spans="1:20" x14ac:dyDescent="0.25">
      <c r="A623" s="378" t="s">
        <v>20</v>
      </c>
      <c r="B623" s="378" t="s">
        <v>731</v>
      </c>
      <c r="C623" s="379">
        <v>156.51750000000001</v>
      </c>
      <c r="D623" s="379">
        <v>128.94999999999999</v>
      </c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</row>
    <row r="624" spans="1:20" x14ac:dyDescent="0.25">
      <c r="A624" s="378" t="s">
        <v>20</v>
      </c>
      <c r="B624" s="378" t="s">
        <v>630</v>
      </c>
      <c r="C624" s="379">
        <v>47.787999999999997</v>
      </c>
      <c r="D624" s="379">
        <v>39.369999999999997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</row>
    <row r="625" spans="1:20" x14ac:dyDescent="0.25">
      <c r="A625" s="378" t="s">
        <v>20</v>
      </c>
      <c r="B625" s="378" t="s">
        <v>485</v>
      </c>
      <c r="C625" s="379">
        <v>223.41300000000001</v>
      </c>
      <c r="D625" s="379">
        <v>184.06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</row>
    <row r="626" spans="1:20" x14ac:dyDescent="0.25">
      <c r="A626" s="378" t="s">
        <v>20</v>
      </c>
      <c r="B626" s="378" t="s">
        <v>401</v>
      </c>
      <c r="C626" s="379">
        <v>286.16109999999998</v>
      </c>
      <c r="D626" s="379">
        <v>235.76</v>
      </c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</row>
    <row r="627" spans="1:20" x14ac:dyDescent="0.25">
      <c r="A627" s="378" t="s">
        <v>20</v>
      </c>
      <c r="B627" s="378" t="s">
        <v>444</v>
      </c>
      <c r="C627" s="379">
        <v>326.74759999999998</v>
      </c>
      <c r="D627" s="379">
        <v>269.2</v>
      </c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</row>
    <row r="628" spans="1:20" x14ac:dyDescent="0.25">
      <c r="A628" s="378" t="s">
        <v>20</v>
      </c>
      <c r="B628" s="378" t="s">
        <v>400</v>
      </c>
      <c r="C628" s="379">
        <v>386.40069999999997</v>
      </c>
      <c r="D628" s="379">
        <v>318.33999999999997</v>
      </c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</row>
    <row r="629" spans="1:20" x14ac:dyDescent="0.25">
      <c r="A629" s="378" t="s">
        <v>20</v>
      </c>
      <c r="B629" s="378" t="s">
        <v>447</v>
      </c>
      <c r="C629" s="379">
        <v>75.608000000000004</v>
      </c>
      <c r="D629" s="379">
        <v>62.29</v>
      </c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</row>
    <row r="630" spans="1:20" x14ac:dyDescent="0.25">
      <c r="A630" s="378" t="s">
        <v>20</v>
      </c>
      <c r="B630" s="378" t="s">
        <v>446</v>
      </c>
      <c r="C630" s="379">
        <v>47.614600000000003</v>
      </c>
      <c r="D630" s="379">
        <v>39.229999999999997</v>
      </c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</row>
    <row r="631" spans="1:20" x14ac:dyDescent="0.25">
      <c r="A631" s="378" t="s">
        <v>20</v>
      </c>
      <c r="B631" s="378" t="s">
        <v>443</v>
      </c>
      <c r="C631" s="379">
        <v>92.926199999999994</v>
      </c>
      <c r="D631" s="379">
        <v>76.56</v>
      </c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</row>
    <row r="632" spans="1:20" x14ac:dyDescent="0.25">
      <c r="A632" s="378" t="s">
        <v>20</v>
      </c>
      <c r="B632" s="378" t="s">
        <v>445</v>
      </c>
      <c r="C632" s="379">
        <v>200.0547</v>
      </c>
      <c r="D632" s="379">
        <v>164.82</v>
      </c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</row>
    <row r="633" spans="1:20" x14ac:dyDescent="0.25">
      <c r="A633" s="378" t="s">
        <v>20</v>
      </c>
      <c r="B633" s="378" t="s">
        <v>442</v>
      </c>
      <c r="C633" s="379">
        <v>234.922</v>
      </c>
      <c r="D633" s="379">
        <v>193.54</v>
      </c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</row>
    <row r="634" spans="1:20" x14ac:dyDescent="0.25">
      <c r="A634" s="378" t="s">
        <v>20</v>
      </c>
      <c r="B634" s="378" t="s">
        <v>398</v>
      </c>
      <c r="C634" s="379">
        <v>1058.0815</v>
      </c>
      <c r="D634" s="379">
        <v>871.72</v>
      </c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</row>
    <row r="635" spans="1:20" x14ac:dyDescent="0.25">
      <c r="A635" s="378" t="s">
        <v>20</v>
      </c>
      <c r="B635" s="378" t="s">
        <v>399</v>
      </c>
      <c r="C635" s="379">
        <v>661.85450000000003</v>
      </c>
      <c r="D635" s="379">
        <v>545.28</v>
      </c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</row>
    <row r="636" spans="1:20" x14ac:dyDescent="0.25">
      <c r="A636" s="378" t="s">
        <v>20</v>
      </c>
      <c r="B636" s="378" t="s">
        <v>63</v>
      </c>
      <c r="C636" s="379">
        <v>178.3929</v>
      </c>
      <c r="D636" s="379">
        <v>146.97</v>
      </c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</row>
    <row r="637" spans="1:20" x14ac:dyDescent="0.25">
      <c r="A637" s="378" t="s">
        <v>20</v>
      </c>
      <c r="B637" s="378" t="s">
        <v>80</v>
      </c>
      <c r="C637" s="379">
        <v>182.76329999999999</v>
      </c>
      <c r="D637" s="379">
        <v>150.57</v>
      </c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</row>
    <row r="638" spans="1:20" x14ac:dyDescent="0.25">
      <c r="A638" s="378" t="s">
        <v>20</v>
      </c>
      <c r="B638" s="378" t="s">
        <v>81</v>
      </c>
      <c r="C638" s="379">
        <v>153.6927</v>
      </c>
      <c r="D638" s="379">
        <v>126.62</v>
      </c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</row>
    <row r="639" spans="1:20" x14ac:dyDescent="0.25">
      <c r="A639" s="378" t="s">
        <v>20</v>
      </c>
      <c r="B639" s="378" t="s">
        <v>82</v>
      </c>
      <c r="C639" s="379">
        <v>139.94890000000001</v>
      </c>
      <c r="D639" s="379">
        <v>115.3</v>
      </c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</row>
    <row r="640" spans="1:20" x14ac:dyDescent="0.25">
      <c r="A640" s="378" t="s">
        <v>20</v>
      </c>
      <c r="B640" s="378" t="s">
        <v>64</v>
      </c>
      <c r="C640" s="379">
        <v>133.21279999999999</v>
      </c>
      <c r="D640" s="379">
        <v>109.75</v>
      </c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</row>
    <row r="641" spans="1:20" x14ac:dyDescent="0.25">
      <c r="A641" s="378" t="s">
        <v>20</v>
      </c>
      <c r="B641" s="378" t="s">
        <v>83</v>
      </c>
      <c r="C641" s="379">
        <v>179.48869999999999</v>
      </c>
      <c r="D641" s="379">
        <v>147.88</v>
      </c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</row>
    <row r="642" spans="1:20" x14ac:dyDescent="0.25">
      <c r="A642" s="378" t="s">
        <v>20</v>
      </c>
      <c r="B642" s="378" t="s">
        <v>84</v>
      </c>
      <c r="C642" s="379">
        <v>254.58240000000001</v>
      </c>
      <c r="D642" s="379">
        <v>209.74</v>
      </c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</row>
    <row r="643" spans="1:20" x14ac:dyDescent="0.25">
      <c r="A643" s="378" t="s">
        <v>20</v>
      </c>
      <c r="B643" s="378" t="s">
        <v>85</v>
      </c>
      <c r="C643" s="379">
        <v>92.573800000000006</v>
      </c>
      <c r="D643" s="379">
        <v>76.27</v>
      </c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spans="1:20" x14ac:dyDescent="0.25">
      <c r="A644" s="378" t="s">
        <v>20</v>
      </c>
      <c r="B644" s="378" t="s">
        <v>65</v>
      </c>
      <c r="C644" s="379">
        <v>100.1707</v>
      </c>
      <c r="D644" s="379">
        <v>82.53</v>
      </c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</row>
    <row r="645" spans="1:20" x14ac:dyDescent="0.25">
      <c r="A645" s="378" t="s">
        <v>20</v>
      </c>
      <c r="B645" s="378" t="s">
        <v>86</v>
      </c>
      <c r="C645" s="379">
        <v>178.8947</v>
      </c>
      <c r="D645" s="379">
        <v>147.38999999999999</v>
      </c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spans="1:20" x14ac:dyDescent="0.25">
      <c r="A646" s="378" t="s">
        <v>20</v>
      </c>
      <c r="B646" s="378" t="s">
        <v>66</v>
      </c>
      <c r="C646" s="379">
        <v>124.57080000000001</v>
      </c>
      <c r="D646" s="379">
        <v>102.63</v>
      </c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</row>
    <row r="647" spans="1:20" x14ac:dyDescent="0.25">
      <c r="A647" s="378" t="s">
        <v>20</v>
      </c>
      <c r="B647" s="378" t="s">
        <v>87</v>
      </c>
      <c r="C647" s="379">
        <v>52.57</v>
      </c>
      <c r="D647" s="379">
        <v>43.31</v>
      </c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</row>
    <row r="648" spans="1:20" x14ac:dyDescent="0.25">
      <c r="A648" s="378" t="s">
        <v>20</v>
      </c>
      <c r="B648" s="378" t="s">
        <v>88</v>
      </c>
      <c r="C648" s="379">
        <v>141.89279999999999</v>
      </c>
      <c r="D648" s="379">
        <v>116.9</v>
      </c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</row>
    <row r="649" spans="1:20" x14ac:dyDescent="0.25">
      <c r="A649" s="378" t="s">
        <v>20</v>
      </c>
      <c r="B649" s="378" t="s">
        <v>89</v>
      </c>
      <c r="C649" s="379">
        <v>105.65519999999999</v>
      </c>
      <c r="D649" s="379">
        <v>87.05</v>
      </c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</row>
    <row r="650" spans="1:20" x14ac:dyDescent="0.25">
      <c r="A650" s="378" t="s">
        <v>20</v>
      </c>
      <c r="B650" s="378" t="s">
        <v>67</v>
      </c>
      <c r="C650" s="379">
        <v>136.5008</v>
      </c>
      <c r="D650" s="379">
        <v>112.46</v>
      </c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</row>
    <row r="651" spans="1:20" x14ac:dyDescent="0.25">
      <c r="A651" s="378" t="s">
        <v>20</v>
      </c>
      <c r="B651" s="378" t="s">
        <v>68</v>
      </c>
      <c r="C651" s="379">
        <v>137.47550000000001</v>
      </c>
      <c r="D651" s="379">
        <v>113.26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</row>
    <row r="652" spans="1:20" x14ac:dyDescent="0.25">
      <c r="A652" s="378" t="s">
        <v>20</v>
      </c>
      <c r="B652" s="378" t="s">
        <v>90</v>
      </c>
      <c r="C652" s="379">
        <v>143.15629999999999</v>
      </c>
      <c r="D652" s="379">
        <v>117.94</v>
      </c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</row>
    <row r="653" spans="1:20" x14ac:dyDescent="0.25">
      <c r="A653" s="378" t="s">
        <v>20</v>
      </c>
      <c r="B653" s="378" t="s">
        <v>69</v>
      </c>
      <c r="C653" s="379">
        <v>91.791799999999995</v>
      </c>
      <c r="D653" s="379">
        <v>75.62</v>
      </c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</row>
    <row r="654" spans="1:20" x14ac:dyDescent="0.25">
      <c r="A654" s="378" t="s">
        <v>20</v>
      </c>
      <c r="B654" s="378" t="s">
        <v>91</v>
      </c>
      <c r="C654" s="379">
        <v>184.23570000000001</v>
      </c>
      <c r="D654" s="379">
        <v>151.79</v>
      </c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</row>
    <row r="655" spans="1:20" x14ac:dyDescent="0.25">
      <c r="A655" s="378" t="s">
        <v>20</v>
      </c>
      <c r="B655" s="378" t="s">
        <v>92</v>
      </c>
      <c r="C655" s="379">
        <v>80.191800000000001</v>
      </c>
      <c r="D655" s="379">
        <v>66.069999999999993</v>
      </c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</row>
    <row r="656" spans="1:20" x14ac:dyDescent="0.25">
      <c r="A656" s="378" t="s">
        <v>20</v>
      </c>
      <c r="B656" s="378" t="s">
        <v>93</v>
      </c>
      <c r="C656" s="379">
        <v>135.13509999999999</v>
      </c>
      <c r="D656" s="379">
        <v>111.33</v>
      </c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</row>
    <row r="657" spans="1:20" x14ac:dyDescent="0.25">
      <c r="A657" s="378" t="s">
        <v>20</v>
      </c>
      <c r="B657" s="378" t="s">
        <v>70</v>
      </c>
      <c r="C657" s="379">
        <v>108.1296</v>
      </c>
      <c r="D657" s="379">
        <v>89.08</v>
      </c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</row>
    <row r="658" spans="1:20" x14ac:dyDescent="0.25">
      <c r="A658" s="378" t="s">
        <v>20</v>
      </c>
      <c r="B658" s="378" t="s">
        <v>71</v>
      </c>
      <c r="C658" s="379">
        <v>160.3135</v>
      </c>
      <c r="D658" s="379">
        <v>132.08000000000001</v>
      </c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</row>
    <row r="659" spans="1:20" x14ac:dyDescent="0.25">
      <c r="A659" s="378" t="s">
        <v>20</v>
      </c>
      <c r="B659" s="378" t="s">
        <v>72</v>
      </c>
      <c r="C659" s="379">
        <v>187.803</v>
      </c>
      <c r="D659" s="379">
        <v>154.72</v>
      </c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</row>
    <row r="660" spans="1:20" x14ac:dyDescent="0.25">
      <c r="A660" s="378" t="s">
        <v>20</v>
      </c>
      <c r="B660" s="378" t="s">
        <v>94</v>
      </c>
      <c r="C660" s="379">
        <v>167.42160000000001</v>
      </c>
      <c r="D660" s="379">
        <v>137.93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</row>
    <row r="661" spans="1:20" x14ac:dyDescent="0.25">
      <c r="A661" s="378" t="s">
        <v>20</v>
      </c>
      <c r="B661" s="378" t="s">
        <v>95</v>
      </c>
      <c r="C661" s="379">
        <v>171.97640000000001</v>
      </c>
      <c r="D661" s="379">
        <v>141.69</v>
      </c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</row>
    <row r="662" spans="1:20" x14ac:dyDescent="0.25">
      <c r="A662" s="378" t="s">
        <v>20</v>
      </c>
      <c r="B662" s="378" t="s">
        <v>73</v>
      </c>
      <c r="C662" s="379">
        <v>66.7393</v>
      </c>
      <c r="D662" s="379">
        <v>54.98</v>
      </c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</row>
    <row r="663" spans="1:20" x14ac:dyDescent="0.25">
      <c r="A663" s="378" t="s">
        <v>20</v>
      </c>
      <c r="B663" s="378" t="s">
        <v>74</v>
      </c>
      <c r="C663" s="379">
        <v>105.256</v>
      </c>
      <c r="D663" s="379">
        <v>86.72</v>
      </c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</row>
    <row r="664" spans="1:20" x14ac:dyDescent="0.25">
      <c r="A664" s="378" t="s">
        <v>20</v>
      </c>
      <c r="B664" s="378" t="s">
        <v>75</v>
      </c>
      <c r="C664" s="379">
        <v>163.53489999999999</v>
      </c>
      <c r="D664" s="379">
        <v>134.72999999999999</v>
      </c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</row>
    <row r="665" spans="1:20" x14ac:dyDescent="0.25">
      <c r="A665" s="378" t="s">
        <v>20</v>
      </c>
      <c r="B665" s="378" t="s">
        <v>96</v>
      </c>
      <c r="C665" s="379">
        <v>161.28540000000001</v>
      </c>
      <c r="D665" s="379">
        <v>132.88</v>
      </c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</row>
    <row r="666" spans="1:20" x14ac:dyDescent="0.25">
      <c r="A666" s="378" t="s">
        <v>20</v>
      </c>
      <c r="B666" s="378" t="s">
        <v>97</v>
      </c>
      <c r="C666" s="379">
        <v>380.45139999999998</v>
      </c>
      <c r="D666" s="379">
        <v>313.44</v>
      </c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</row>
    <row r="667" spans="1:20" x14ac:dyDescent="0.25">
      <c r="A667" s="378" t="s">
        <v>20</v>
      </c>
      <c r="B667" s="378" t="s">
        <v>98</v>
      </c>
      <c r="C667" s="379">
        <v>122.3433</v>
      </c>
      <c r="D667" s="379">
        <v>100.79</v>
      </c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</row>
    <row r="668" spans="1:20" x14ac:dyDescent="0.25">
      <c r="A668" s="378" t="s">
        <v>20</v>
      </c>
      <c r="B668" s="378" t="s">
        <v>76</v>
      </c>
      <c r="C668" s="379">
        <v>132.65950000000001</v>
      </c>
      <c r="D668" s="379">
        <v>109.29</v>
      </c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</row>
    <row r="669" spans="1:20" x14ac:dyDescent="0.25">
      <c r="A669" s="378" t="s">
        <v>20</v>
      </c>
      <c r="B669" s="378" t="s">
        <v>77</v>
      </c>
      <c r="C669" s="379">
        <v>139.16569999999999</v>
      </c>
      <c r="D669" s="379">
        <v>114.65</v>
      </c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</row>
    <row r="670" spans="1:20" x14ac:dyDescent="0.25">
      <c r="A670" s="378" t="s">
        <v>20</v>
      </c>
      <c r="B670" s="378" t="s">
        <v>78</v>
      </c>
      <c r="C670" s="379">
        <v>169.1388</v>
      </c>
      <c r="D670" s="379">
        <v>139.35</v>
      </c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</row>
    <row r="671" spans="1:20" x14ac:dyDescent="0.25">
      <c r="A671" s="378" t="s">
        <v>20</v>
      </c>
      <c r="B671" s="378" t="s">
        <v>99</v>
      </c>
      <c r="C671" s="379">
        <v>122.8545</v>
      </c>
      <c r="D671" s="379">
        <v>101.22</v>
      </c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</row>
    <row r="672" spans="1:20" x14ac:dyDescent="0.25">
      <c r="A672" s="378" t="s">
        <v>20</v>
      </c>
      <c r="B672" s="378" t="s">
        <v>100</v>
      </c>
      <c r="C672" s="379">
        <v>85.696200000000005</v>
      </c>
      <c r="D672" s="379">
        <v>70.599999999999994</v>
      </c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</row>
    <row r="673" spans="1:20" x14ac:dyDescent="0.25">
      <c r="A673" s="378" t="s">
        <v>20</v>
      </c>
      <c r="B673" s="378" t="s">
        <v>101</v>
      </c>
      <c r="C673" s="379">
        <v>181.81899999999999</v>
      </c>
      <c r="D673" s="379">
        <v>149.79</v>
      </c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</row>
    <row r="674" spans="1:20" x14ac:dyDescent="0.25">
      <c r="A674" s="378" t="s">
        <v>20</v>
      </c>
      <c r="B674" s="378" t="s">
        <v>79</v>
      </c>
      <c r="C674" s="379">
        <v>130.91139999999999</v>
      </c>
      <c r="D674" s="379">
        <v>107.85</v>
      </c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</row>
    <row r="675" spans="1:20" x14ac:dyDescent="0.25">
      <c r="A675" s="378" t="s">
        <v>20</v>
      </c>
      <c r="B675" s="378" t="s">
        <v>102</v>
      </c>
      <c r="C675" s="379">
        <v>250.5849</v>
      </c>
      <c r="D675" s="379">
        <v>206.45</v>
      </c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</row>
    <row r="676" spans="1:20" x14ac:dyDescent="0.25">
      <c r="A676" s="378" t="s">
        <v>20</v>
      </c>
      <c r="B676" s="378" t="s">
        <v>842</v>
      </c>
      <c r="C676" s="379">
        <v>108.13209999999999</v>
      </c>
      <c r="D676" s="379">
        <v>89.09</v>
      </c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</row>
    <row r="677" spans="1:20" x14ac:dyDescent="0.25">
      <c r="A677" s="378" t="s">
        <v>20</v>
      </c>
      <c r="B677" s="378" t="s">
        <v>463</v>
      </c>
      <c r="C677" s="379">
        <v>100.68219999999999</v>
      </c>
      <c r="D677" s="379">
        <v>82.95</v>
      </c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x14ac:dyDescent="0.25">
      <c r="A678" s="378" t="s">
        <v>20</v>
      </c>
      <c r="B678" s="378" t="s">
        <v>462</v>
      </c>
      <c r="C678" s="379">
        <v>96.457300000000004</v>
      </c>
      <c r="D678" s="379">
        <v>79.47</v>
      </c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</row>
    <row r="679" spans="1:20" x14ac:dyDescent="0.25">
      <c r="A679" s="378" t="s">
        <v>20</v>
      </c>
      <c r="B679" s="378" t="s">
        <v>406</v>
      </c>
      <c r="C679" s="379">
        <v>87.930899999999994</v>
      </c>
      <c r="D679" s="379">
        <v>72.44</v>
      </c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</row>
    <row r="680" spans="1:20" x14ac:dyDescent="0.25">
      <c r="A680" s="378" t="s">
        <v>20</v>
      </c>
      <c r="B680" s="378" t="s">
        <v>461</v>
      </c>
      <c r="C680" s="379">
        <v>166.63890000000001</v>
      </c>
      <c r="D680" s="379">
        <v>137.29</v>
      </c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</row>
    <row r="681" spans="1:20" x14ac:dyDescent="0.25">
      <c r="A681" s="378" t="s">
        <v>20</v>
      </c>
      <c r="B681" s="378" t="s">
        <v>819</v>
      </c>
      <c r="C681" s="379">
        <v>45.545200000000001</v>
      </c>
      <c r="D681" s="379">
        <v>37.520000000000003</v>
      </c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</row>
    <row r="682" spans="1:20" x14ac:dyDescent="0.25">
      <c r="A682" s="378" t="s">
        <v>20</v>
      </c>
      <c r="B682" s="378" t="s">
        <v>407</v>
      </c>
      <c r="C682" s="379">
        <v>174.18979999999999</v>
      </c>
      <c r="D682" s="379">
        <v>143.51</v>
      </c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</row>
    <row r="683" spans="1:20" x14ac:dyDescent="0.25">
      <c r="A683" s="378" t="s">
        <v>20</v>
      </c>
      <c r="B683" s="378" t="s">
        <v>702</v>
      </c>
      <c r="C683" s="379">
        <v>36.634900000000002</v>
      </c>
      <c r="D683" s="379">
        <v>30.18</v>
      </c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</row>
    <row r="684" spans="1:20" x14ac:dyDescent="0.25">
      <c r="A684" s="378" t="s">
        <v>20</v>
      </c>
      <c r="B684" s="378" t="s">
        <v>843</v>
      </c>
      <c r="C684" s="379">
        <v>77.666899999999998</v>
      </c>
      <c r="D684" s="379">
        <v>63.99</v>
      </c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</row>
    <row r="685" spans="1:20" x14ac:dyDescent="0.25">
      <c r="A685" s="378" t="s">
        <v>20</v>
      </c>
      <c r="B685" s="378" t="s">
        <v>103</v>
      </c>
      <c r="C685" s="379">
        <v>117.72110000000001</v>
      </c>
      <c r="D685" s="379">
        <v>96.99</v>
      </c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</row>
    <row r="686" spans="1:20" x14ac:dyDescent="0.25">
      <c r="A686" s="378" t="s">
        <v>20</v>
      </c>
      <c r="B686" s="378" t="s">
        <v>591</v>
      </c>
      <c r="C686" s="379">
        <v>479.2072</v>
      </c>
      <c r="D686" s="379">
        <v>394.8</v>
      </c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spans="1:20" x14ac:dyDescent="0.25">
      <c r="A687" s="378" t="s">
        <v>20</v>
      </c>
      <c r="B687" s="378" t="s">
        <v>475</v>
      </c>
      <c r="C687" s="379">
        <v>154.68</v>
      </c>
      <c r="D687" s="379">
        <v>127.44</v>
      </c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</row>
    <row r="688" spans="1:20" x14ac:dyDescent="0.25">
      <c r="A688" s="378" t="s">
        <v>20</v>
      </c>
      <c r="B688" s="378" t="s">
        <v>104</v>
      </c>
      <c r="C688" s="379">
        <v>291.60599999999999</v>
      </c>
      <c r="D688" s="379">
        <v>240.24</v>
      </c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spans="1:20" x14ac:dyDescent="0.25">
      <c r="A689" s="378" t="s">
        <v>20</v>
      </c>
      <c r="B689" s="378" t="s">
        <v>844</v>
      </c>
      <c r="C689" s="379">
        <v>186.4392</v>
      </c>
      <c r="D689" s="379">
        <v>153.6</v>
      </c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</row>
    <row r="690" spans="1:20" x14ac:dyDescent="0.25">
      <c r="A690" s="378" t="s">
        <v>20</v>
      </c>
      <c r="B690" s="378" t="s">
        <v>732</v>
      </c>
      <c r="C690" s="379">
        <v>103.7784</v>
      </c>
      <c r="D690" s="379">
        <v>85.5</v>
      </c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</row>
    <row r="691" spans="1:20" x14ac:dyDescent="0.25">
      <c r="A691" s="378" t="s">
        <v>20</v>
      </c>
      <c r="B691" s="378" t="s">
        <v>733</v>
      </c>
      <c r="C691" s="379">
        <v>71.103099999999998</v>
      </c>
      <c r="D691" s="379">
        <v>58.58</v>
      </c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</row>
    <row r="692" spans="1:20" x14ac:dyDescent="0.25">
      <c r="A692" s="378" t="s">
        <v>20</v>
      </c>
      <c r="B692" s="378" t="s">
        <v>734</v>
      </c>
      <c r="C692" s="379">
        <v>116.7302</v>
      </c>
      <c r="D692" s="379">
        <v>96.17</v>
      </c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</row>
    <row r="693" spans="1:20" x14ac:dyDescent="0.25">
      <c r="A693" s="378" t="s">
        <v>20</v>
      </c>
      <c r="B693" s="378" t="s">
        <v>861</v>
      </c>
      <c r="C693" s="379">
        <v>19.856300000000001</v>
      </c>
      <c r="D693" s="379">
        <v>16.36</v>
      </c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</row>
    <row r="694" spans="1:20" x14ac:dyDescent="0.25">
      <c r="A694" s="378" t="s">
        <v>20</v>
      </c>
      <c r="B694" s="378" t="s">
        <v>369</v>
      </c>
      <c r="C694" s="379">
        <v>171.3869</v>
      </c>
      <c r="D694" s="379">
        <v>141.19999999999999</v>
      </c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</row>
    <row r="695" spans="1:20" x14ac:dyDescent="0.25">
      <c r="A695" s="378" t="s">
        <v>20</v>
      </c>
      <c r="B695" s="378" t="s">
        <v>370</v>
      </c>
      <c r="C695" s="379">
        <v>189.9896</v>
      </c>
      <c r="D695" s="379">
        <v>156.53</v>
      </c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</row>
    <row r="696" spans="1:20" x14ac:dyDescent="0.25">
      <c r="A696" s="378" t="s">
        <v>20</v>
      </c>
      <c r="B696" s="378" t="s">
        <v>368</v>
      </c>
      <c r="C696" s="379">
        <v>1334.5742</v>
      </c>
      <c r="D696" s="379">
        <v>1099.51</v>
      </c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</row>
    <row r="697" spans="1:20" x14ac:dyDescent="0.25">
      <c r="A697" s="378" t="s">
        <v>20</v>
      </c>
      <c r="B697" s="378" t="s">
        <v>417</v>
      </c>
      <c r="C697" s="379">
        <v>6.9916</v>
      </c>
      <c r="D697" s="379">
        <v>5.76</v>
      </c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</row>
    <row r="698" spans="1:20" x14ac:dyDescent="0.25">
      <c r="A698" s="378" t="s">
        <v>20</v>
      </c>
      <c r="B698" s="378" t="s">
        <v>418</v>
      </c>
      <c r="C698" s="379">
        <v>5.3814000000000002</v>
      </c>
      <c r="D698" s="379">
        <v>4.43</v>
      </c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</row>
    <row r="699" spans="1:20" x14ac:dyDescent="0.25">
      <c r="A699" s="378" t="s">
        <v>20</v>
      </c>
      <c r="B699" s="378" t="s">
        <v>419</v>
      </c>
      <c r="C699" s="379">
        <v>6.1600999999999999</v>
      </c>
      <c r="D699" s="379">
        <v>5.08</v>
      </c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</row>
    <row r="700" spans="1:20" x14ac:dyDescent="0.25">
      <c r="A700" s="378" t="s">
        <v>20</v>
      </c>
      <c r="B700" s="378" t="s">
        <v>420</v>
      </c>
      <c r="C700" s="379">
        <v>6.5218999999999996</v>
      </c>
      <c r="D700" s="379">
        <v>5.37</v>
      </c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</row>
    <row r="701" spans="1:20" x14ac:dyDescent="0.25">
      <c r="A701" s="378" t="s">
        <v>20</v>
      </c>
      <c r="B701" s="378" t="s">
        <v>845</v>
      </c>
      <c r="C701" s="379">
        <v>327.33670000000001</v>
      </c>
      <c r="D701" s="379">
        <v>269.68</v>
      </c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</row>
    <row r="702" spans="1:20" x14ac:dyDescent="0.25">
      <c r="A702" s="378" t="s">
        <v>20</v>
      </c>
      <c r="B702" s="378" t="s">
        <v>631</v>
      </c>
      <c r="C702" s="379">
        <v>31.395499999999998</v>
      </c>
      <c r="D702" s="379">
        <v>25.87</v>
      </c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</row>
    <row r="703" spans="1:20" x14ac:dyDescent="0.25">
      <c r="A703" s="378" t="s">
        <v>20</v>
      </c>
      <c r="B703" s="378" t="s">
        <v>632</v>
      </c>
      <c r="C703" s="379">
        <v>136.3553</v>
      </c>
      <c r="D703" s="379">
        <v>112.34</v>
      </c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</row>
    <row r="704" spans="1:20" x14ac:dyDescent="0.25">
      <c r="A704" s="378" t="s">
        <v>20</v>
      </c>
      <c r="B704" s="378" t="s">
        <v>397</v>
      </c>
      <c r="C704" s="379">
        <v>1263.2956999999999</v>
      </c>
      <c r="D704" s="379">
        <v>1040.79</v>
      </c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</row>
    <row r="705" spans="1:20" x14ac:dyDescent="0.25">
      <c r="A705" s="378" t="s">
        <v>20</v>
      </c>
      <c r="B705" s="378" t="s">
        <v>367</v>
      </c>
      <c r="C705" s="379">
        <v>194.33320000000001</v>
      </c>
      <c r="D705" s="379">
        <v>160.1</v>
      </c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</row>
    <row r="706" spans="1:20" x14ac:dyDescent="0.25">
      <c r="A706" s="378" t="s">
        <v>20</v>
      </c>
      <c r="B706" s="378" t="s">
        <v>778</v>
      </c>
      <c r="C706" s="379">
        <v>27.051300000000001</v>
      </c>
      <c r="D706" s="379">
        <v>22.29</v>
      </c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</row>
    <row r="707" spans="1:20" x14ac:dyDescent="0.25">
      <c r="A707" s="378" t="s">
        <v>20</v>
      </c>
      <c r="B707" s="378" t="s">
        <v>665</v>
      </c>
      <c r="C707" s="379">
        <v>680.61239999999998</v>
      </c>
      <c r="D707" s="379">
        <v>560.73</v>
      </c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</row>
    <row r="708" spans="1:20" x14ac:dyDescent="0.25">
      <c r="A708" s="378" t="s">
        <v>20</v>
      </c>
      <c r="B708" s="378" t="s">
        <v>366</v>
      </c>
      <c r="C708" s="379">
        <v>24.267099999999999</v>
      </c>
      <c r="D708" s="379">
        <v>19.989999999999998</v>
      </c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</row>
    <row r="709" spans="1:20" x14ac:dyDescent="0.25">
      <c r="A709" s="378" t="s">
        <v>20</v>
      </c>
      <c r="B709" s="378" t="s">
        <v>703</v>
      </c>
      <c r="C709" s="379">
        <v>137.29849999999999</v>
      </c>
      <c r="D709" s="379">
        <v>113.12</v>
      </c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</row>
    <row r="710" spans="1:20" x14ac:dyDescent="0.25">
      <c r="A710" s="378" t="s">
        <v>20</v>
      </c>
      <c r="B710" s="378" t="s">
        <v>592</v>
      </c>
      <c r="C710" s="379">
        <v>316.17680000000001</v>
      </c>
      <c r="D710" s="379">
        <v>260.49</v>
      </c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</row>
    <row r="711" spans="1:20" x14ac:dyDescent="0.25">
      <c r="A711" s="378" t="s">
        <v>20</v>
      </c>
      <c r="B711" s="378" t="s">
        <v>502</v>
      </c>
      <c r="C711" s="379">
        <v>20.741099999999999</v>
      </c>
      <c r="D711" s="379">
        <v>17.09</v>
      </c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</row>
    <row r="712" spans="1:20" x14ac:dyDescent="0.25">
      <c r="A712" s="378" t="s">
        <v>20</v>
      </c>
      <c r="B712" s="378" t="s">
        <v>484</v>
      </c>
      <c r="C712" s="379">
        <v>148.48519999999999</v>
      </c>
      <c r="D712" s="379">
        <v>122.33</v>
      </c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</row>
    <row r="713" spans="1:20" x14ac:dyDescent="0.25">
      <c r="A713" s="378" t="s">
        <v>20</v>
      </c>
      <c r="B713" s="378" t="s">
        <v>105</v>
      </c>
      <c r="C713" s="379">
        <v>54.970999999999997</v>
      </c>
      <c r="D713" s="379">
        <v>45.29</v>
      </c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</row>
    <row r="714" spans="1:20" x14ac:dyDescent="0.25">
      <c r="A714" s="378" t="s">
        <v>20</v>
      </c>
      <c r="B714" s="378" t="s">
        <v>350</v>
      </c>
      <c r="C714" s="379">
        <v>494.94929999999999</v>
      </c>
      <c r="D714" s="379">
        <v>407.77</v>
      </c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</row>
    <row r="715" spans="1:20" x14ac:dyDescent="0.25">
      <c r="A715" s="378" t="s">
        <v>20</v>
      </c>
      <c r="B715" s="378" t="s">
        <v>361</v>
      </c>
      <c r="C715" s="379">
        <v>30.458500000000001</v>
      </c>
      <c r="D715" s="379">
        <v>25.09</v>
      </c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</row>
    <row r="716" spans="1:20" x14ac:dyDescent="0.25">
      <c r="A716" s="378" t="s">
        <v>20</v>
      </c>
      <c r="B716" s="378" t="s">
        <v>593</v>
      </c>
      <c r="C716" s="379">
        <v>167.4325</v>
      </c>
      <c r="D716" s="379">
        <v>137.94</v>
      </c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</row>
    <row r="717" spans="1:20" x14ac:dyDescent="0.25">
      <c r="A717" s="378" t="s">
        <v>20</v>
      </c>
      <c r="B717" s="378" t="s">
        <v>487</v>
      </c>
      <c r="C717" s="379">
        <v>50.740699999999997</v>
      </c>
      <c r="D717" s="379">
        <v>41.8</v>
      </c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</row>
    <row r="718" spans="1:20" x14ac:dyDescent="0.25">
      <c r="A718" s="378" t="s">
        <v>20</v>
      </c>
      <c r="B718" s="378" t="s">
        <v>382</v>
      </c>
      <c r="C718" s="379">
        <v>257.55419999999998</v>
      </c>
      <c r="D718" s="379">
        <v>212.19</v>
      </c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</row>
    <row r="719" spans="1:20" x14ac:dyDescent="0.25">
      <c r="A719" s="378" t="s">
        <v>20</v>
      </c>
      <c r="B719" s="378" t="s">
        <v>448</v>
      </c>
      <c r="C719" s="379">
        <v>140.7963</v>
      </c>
      <c r="D719" s="379">
        <v>116</v>
      </c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</row>
    <row r="720" spans="1:20" x14ac:dyDescent="0.25">
      <c r="A720" s="378" t="s">
        <v>20</v>
      </c>
      <c r="B720" s="378" t="s">
        <v>375</v>
      </c>
      <c r="C720" s="379">
        <v>143.90809999999999</v>
      </c>
      <c r="D720" s="379">
        <v>118.56</v>
      </c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</row>
    <row r="721" spans="1:20" x14ac:dyDescent="0.25">
      <c r="A721" s="378" t="s">
        <v>20</v>
      </c>
      <c r="B721" s="378" t="s">
        <v>411</v>
      </c>
      <c r="C721" s="379">
        <v>308.75979999999998</v>
      </c>
      <c r="D721" s="379">
        <v>254.38</v>
      </c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</row>
    <row r="722" spans="1:20" x14ac:dyDescent="0.25">
      <c r="A722" s="378" t="s">
        <v>20</v>
      </c>
      <c r="B722" s="378" t="s">
        <v>862</v>
      </c>
      <c r="C722" s="379">
        <v>37.949399999999997</v>
      </c>
      <c r="D722" s="379">
        <v>31.27</v>
      </c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</row>
    <row r="723" spans="1:20" x14ac:dyDescent="0.25">
      <c r="A723" s="378" t="s">
        <v>20</v>
      </c>
      <c r="B723" s="378" t="s">
        <v>633</v>
      </c>
      <c r="C723" s="379">
        <v>166.22210000000001</v>
      </c>
      <c r="D723" s="379">
        <v>136.94999999999999</v>
      </c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</row>
    <row r="724" spans="1:20" x14ac:dyDescent="0.25">
      <c r="A724" s="378" t="s">
        <v>20</v>
      </c>
      <c r="B724" s="378" t="s">
        <v>634</v>
      </c>
      <c r="C724" s="379">
        <v>48.862200000000001</v>
      </c>
      <c r="D724" s="379">
        <v>40.26</v>
      </c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</row>
    <row r="725" spans="1:20" x14ac:dyDescent="0.25">
      <c r="A725" s="378" t="s">
        <v>20</v>
      </c>
      <c r="B725" s="378" t="s">
        <v>377</v>
      </c>
      <c r="C725" s="379">
        <v>208.6585</v>
      </c>
      <c r="D725" s="379">
        <v>171.91</v>
      </c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</row>
    <row r="726" spans="1:20" x14ac:dyDescent="0.25">
      <c r="A726" s="378" t="s">
        <v>20</v>
      </c>
      <c r="B726" s="378" t="s">
        <v>635</v>
      </c>
      <c r="C726" s="379">
        <v>115.0115</v>
      </c>
      <c r="D726" s="379">
        <v>94.75</v>
      </c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</row>
    <row r="727" spans="1:20" x14ac:dyDescent="0.25">
      <c r="A727" s="378" t="s">
        <v>20</v>
      </c>
      <c r="B727" s="378" t="s">
        <v>380</v>
      </c>
      <c r="C727" s="379">
        <v>253.12379999999999</v>
      </c>
      <c r="D727" s="379">
        <v>208.54</v>
      </c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</row>
    <row r="728" spans="1:20" x14ac:dyDescent="0.25">
      <c r="A728" s="378" t="s">
        <v>20</v>
      </c>
      <c r="B728" s="378" t="s">
        <v>379</v>
      </c>
      <c r="C728" s="379">
        <v>187.44319999999999</v>
      </c>
      <c r="D728" s="379">
        <v>154.43</v>
      </c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</row>
    <row r="729" spans="1:20" x14ac:dyDescent="0.25">
      <c r="A729" s="378" t="s">
        <v>20</v>
      </c>
      <c r="B729" s="378" t="s">
        <v>434</v>
      </c>
      <c r="C729" s="379">
        <v>284.88549999999998</v>
      </c>
      <c r="D729" s="379">
        <v>234.71</v>
      </c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spans="1:20" x14ac:dyDescent="0.25">
      <c r="A730" s="378" t="s">
        <v>20</v>
      </c>
      <c r="B730" s="378" t="s">
        <v>381</v>
      </c>
      <c r="C730" s="379">
        <v>140.89830000000001</v>
      </c>
      <c r="D730" s="379">
        <v>116.08</v>
      </c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</row>
    <row r="731" spans="1:20" x14ac:dyDescent="0.25">
      <c r="A731" s="378" t="s">
        <v>20</v>
      </c>
      <c r="B731" s="378" t="s">
        <v>384</v>
      </c>
      <c r="C731" s="379">
        <v>299.28649999999999</v>
      </c>
      <c r="D731" s="379">
        <v>246.57</v>
      </c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spans="1:20" x14ac:dyDescent="0.25">
      <c r="A732" s="378" t="s">
        <v>20</v>
      </c>
      <c r="B732" s="35" t="s">
        <v>386</v>
      </c>
      <c r="C732" s="35">
        <v>339.0684</v>
      </c>
      <c r="D732" s="35">
        <v>279.35000000000002</v>
      </c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</row>
    <row r="733" spans="1:20" x14ac:dyDescent="0.25">
      <c r="A733" s="378" t="s">
        <v>20</v>
      </c>
      <c r="B733" s="35" t="s">
        <v>385</v>
      </c>
      <c r="C733" s="35">
        <v>85.760099999999994</v>
      </c>
      <c r="D733" s="35">
        <v>70.66</v>
      </c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</row>
    <row r="734" spans="1:20" x14ac:dyDescent="0.25">
      <c r="A734" s="378" t="s">
        <v>20</v>
      </c>
      <c r="B734" s="35" t="s">
        <v>387</v>
      </c>
      <c r="C734" s="35">
        <v>136.78460000000001</v>
      </c>
      <c r="D734" s="35">
        <v>112.69</v>
      </c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</row>
    <row r="735" spans="1:20" x14ac:dyDescent="0.25">
      <c r="A735" s="378" t="s">
        <v>20</v>
      </c>
      <c r="B735" s="35" t="s">
        <v>594</v>
      </c>
      <c r="C735" s="35">
        <v>132.36000000000001</v>
      </c>
      <c r="D735" s="35">
        <v>109.05</v>
      </c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</row>
    <row r="736" spans="1:20" x14ac:dyDescent="0.25">
      <c r="A736" s="378" t="s">
        <v>20</v>
      </c>
      <c r="B736" s="35" t="s">
        <v>383</v>
      </c>
      <c r="C736" s="35">
        <v>240.4111</v>
      </c>
      <c r="D736" s="35">
        <v>198.07</v>
      </c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</row>
    <row r="737" spans="1:20" x14ac:dyDescent="0.25">
      <c r="A737" s="378" t="s">
        <v>20</v>
      </c>
      <c r="B737" s="35" t="s">
        <v>376</v>
      </c>
      <c r="C737" s="35">
        <v>105.15170000000001</v>
      </c>
      <c r="D737" s="35">
        <v>86.63</v>
      </c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</row>
    <row r="738" spans="1:20" x14ac:dyDescent="0.25">
      <c r="A738" s="378" t="s">
        <v>20</v>
      </c>
      <c r="B738" s="35" t="s">
        <v>388</v>
      </c>
      <c r="C738" s="35">
        <v>207.43469999999999</v>
      </c>
      <c r="D738" s="35">
        <v>170.9</v>
      </c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</row>
    <row r="739" spans="1:20" x14ac:dyDescent="0.25">
      <c r="A739" s="378" t="s">
        <v>20</v>
      </c>
      <c r="B739" s="35" t="s">
        <v>378</v>
      </c>
      <c r="C739" s="35">
        <v>101.5604</v>
      </c>
      <c r="D739" s="35">
        <v>83.67</v>
      </c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</row>
    <row r="740" spans="1:20" x14ac:dyDescent="0.25">
      <c r="A740" s="378" t="s">
        <v>20</v>
      </c>
      <c r="B740" s="35" t="s">
        <v>636</v>
      </c>
      <c r="C740" s="35">
        <v>187.21039999999999</v>
      </c>
      <c r="D740" s="35">
        <v>154.24</v>
      </c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</row>
    <row r="741" spans="1:20" x14ac:dyDescent="0.25">
      <c r="A741" s="378" t="s">
        <v>20</v>
      </c>
      <c r="B741" s="35" t="s">
        <v>412</v>
      </c>
      <c r="C741" s="35">
        <v>217.83359999999999</v>
      </c>
      <c r="D741" s="35">
        <v>179.47</v>
      </c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</row>
    <row r="742" spans="1:20" x14ac:dyDescent="0.25">
      <c r="A742" s="378" t="s">
        <v>20</v>
      </c>
      <c r="B742" s="35" t="s">
        <v>389</v>
      </c>
      <c r="C742" s="35">
        <v>91.980400000000003</v>
      </c>
      <c r="D742" s="35">
        <v>75.78</v>
      </c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</row>
    <row r="743" spans="1:20" x14ac:dyDescent="0.25">
      <c r="A743" s="35"/>
      <c r="B743" s="35"/>
      <c r="C743" s="35"/>
      <c r="D743" s="179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</row>
    <row r="744" spans="1:20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</row>
    <row r="745" spans="1:20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</row>
    <row r="746" spans="1:20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</row>
    <row r="747" spans="1:20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</row>
    <row r="748" spans="1:20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</row>
    <row r="749" spans="1:20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</row>
    <row r="750" spans="1:20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</row>
    <row r="751" spans="1:20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</row>
    <row r="752" spans="1:20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</row>
    <row r="753" spans="1:20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</row>
    <row r="754" spans="1:20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</row>
    <row r="755" spans="1:20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</row>
    <row r="756" spans="1:20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</row>
    <row r="757" spans="1:20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</row>
    <row r="758" spans="1:20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</row>
    <row r="759" spans="1:20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</row>
    <row r="760" spans="1:20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</row>
    <row r="761" spans="1:20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</row>
    <row r="762" spans="1:20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</row>
    <row r="763" spans="1:20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</row>
    <row r="764" spans="1:20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</row>
    <row r="765" spans="1:20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</row>
    <row r="766" spans="1:20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</row>
    <row r="767" spans="1:20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</row>
    <row r="768" spans="1:20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</row>
    <row r="769" spans="1:20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</row>
    <row r="770" spans="1:20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</row>
    <row r="771" spans="1:20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</row>
    <row r="772" spans="1:20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spans="1:20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</row>
    <row r="774" spans="1:20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spans="1:20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</row>
    <row r="776" spans="1:20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</row>
    <row r="777" spans="1:20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</row>
    <row r="779" spans="1:20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</row>
    <row r="780" spans="1:20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</row>
    <row r="781" spans="1:20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</row>
    <row r="782" spans="1:20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</row>
    <row r="783" spans="1:20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</row>
    <row r="784" spans="1:20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</row>
    <row r="785" spans="1:20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</row>
    <row r="786" spans="1:20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</row>
    <row r="787" spans="1:20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</row>
    <row r="788" spans="1:20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</row>
    <row r="789" spans="1:20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</row>
    <row r="790" spans="1:20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</row>
    <row r="791" spans="1:20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</row>
    <row r="792" spans="1:20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</row>
    <row r="793" spans="1:20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</row>
    <row r="794" spans="1:20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</row>
    <row r="795" spans="1:20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</row>
    <row r="796" spans="1:20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</row>
    <row r="797" spans="1:20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</row>
    <row r="798" spans="1:20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</row>
    <row r="799" spans="1:20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</row>
    <row r="800" spans="1:20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</row>
    <row r="801" spans="1:20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</row>
    <row r="802" spans="1:20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</row>
    <row r="803" spans="1:20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</row>
    <row r="804" spans="1:20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</row>
    <row r="805" spans="1:20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</row>
    <row r="806" spans="1:20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</row>
    <row r="807" spans="1:20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</row>
    <row r="808" spans="1:20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</row>
    <row r="809" spans="1:20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</row>
    <row r="810" spans="1:20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</row>
    <row r="811" spans="1:20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</row>
    <row r="812" spans="1:20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</row>
    <row r="813" spans="1:20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</row>
    <row r="814" spans="1:20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</row>
    <row r="815" spans="1:20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spans="1:20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</row>
    <row r="817" spans="1:20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spans="1:20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</row>
    <row r="819" spans="1:20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</row>
    <row r="820" spans="1:20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</row>
    <row r="821" spans="1:20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</row>
    <row r="822" spans="1:20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</row>
    <row r="823" spans="1:20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</row>
    <row r="824" spans="1:20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</row>
    <row r="825" spans="1:20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</row>
    <row r="826" spans="1:20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</row>
    <row r="828" spans="1:20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</row>
    <row r="829" spans="1:20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</row>
    <row r="830" spans="1:20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</row>
    <row r="831" spans="1:20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</row>
    <row r="832" spans="1:20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</row>
    <row r="833" spans="1:20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</row>
    <row r="834" spans="1:20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</row>
    <row r="835" spans="1:20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</row>
    <row r="836" spans="1:20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</row>
    <row r="837" spans="1:20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</row>
    <row r="838" spans="1:20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</row>
    <row r="839" spans="1:20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</row>
    <row r="840" spans="1:20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</row>
    <row r="841" spans="1:20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</row>
    <row r="842" spans="1:20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</row>
    <row r="843" spans="1:20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</row>
    <row r="844" spans="1:20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</row>
    <row r="845" spans="1:20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</row>
    <row r="846" spans="1:20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</row>
    <row r="847" spans="1:20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</row>
    <row r="848" spans="1:20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</row>
    <row r="849" spans="1:20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</row>
    <row r="850" spans="1:20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</row>
    <row r="851" spans="1:20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</row>
    <row r="852" spans="1:20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</row>
    <row r="853" spans="1:20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</row>
    <row r="854" spans="1:20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</row>
    <row r="855" spans="1:20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</row>
    <row r="856" spans="1:20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</row>
    <row r="857" spans="1:20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</row>
    <row r="858" spans="1:20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spans="1:20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</row>
    <row r="860" spans="1:20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spans="1:20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</row>
    <row r="862" spans="1:20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</row>
    <row r="863" spans="1:20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</row>
    <row r="864" spans="1:20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</row>
    <row r="865" spans="1:20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</row>
    <row r="866" spans="1:20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</row>
    <row r="867" spans="1:20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</row>
    <row r="868" spans="1:20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</row>
    <row r="869" spans="1:20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</row>
    <row r="870" spans="1:20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</row>
    <row r="871" spans="1:20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</row>
    <row r="872" spans="1:20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</row>
    <row r="873" spans="1:20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</row>
    <row r="874" spans="1:20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</row>
    <row r="875" spans="1:20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</row>
    <row r="876" spans="1:20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</row>
    <row r="877" spans="1:20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</row>
    <row r="878" spans="1:20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</row>
    <row r="879" spans="1:20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</row>
    <row r="880" spans="1:20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</row>
    <row r="881" spans="1:20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</row>
    <row r="882" spans="1:20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</row>
    <row r="883" spans="1:20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</row>
    <row r="884" spans="1:20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</row>
    <row r="885" spans="1:20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</row>
    <row r="886" spans="1:20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</row>
    <row r="887" spans="1:20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</row>
    <row r="888" spans="1:20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</row>
    <row r="889" spans="1:20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</row>
    <row r="890" spans="1:20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</row>
    <row r="891" spans="1:20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</row>
    <row r="892" spans="1:20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</row>
    <row r="893" spans="1:20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</row>
    <row r="894" spans="1:20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</row>
    <row r="895" spans="1:20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</row>
    <row r="896" spans="1:20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</row>
    <row r="897" spans="1:20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</row>
    <row r="898" spans="1:20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</row>
    <row r="899" spans="1:20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</row>
    <row r="900" spans="1:20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</row>
    <row r="901" spans="1:20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spans="1:20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</row>
    <row r="903" spans="1:20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spans="1:20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</row>
    <row r="905" spans="1:20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</row>
    <row r="906" spans="1:20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</row>
    <row r="907" spans="1:20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</row>
    <row r="908" spans="1:20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</row>
    <row r="909" spans="1:20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</row>
    <row r="910" spans="1:20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</row>
    <row r="911" spans="1:20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</row>
    <row r="912" spans="1:20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</row>
    <row r="913" spans="1:20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</row>
    <row r="914" spans="1:20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</row>
    <row r="915" spans="1:20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</row>
    <row r="916" spans="1:20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</row>
    <row r="917" spans="1:20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</row>
    <row r="918" spans="1:20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</row>
    <row r="919" spans="1:20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</row>
    <row r="920" spans="1:20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</row>
    <row r="921" spans="1:20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</row>
    <row r="922" spans="1:20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</row>
    <row r="923" spans="1:20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</row>
    <row r="924" spans="1:20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</row>
    <row r="925" spans="1:20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</row>
    <row r="926" spans="1:20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</row>
    <row r="927" spans="1:20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</row>
    <row r="928" spans="1:20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</row>
    <row r="929" spans="1:20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</row>
    <row r="930" spans="1:20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</row>
    <row r="931" spans="1:20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</row>
    <row r="932" spans="1:20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</row>
    <row r="933" spans="1:20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</row>
    <row r="934" spans="1:20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</row>
    <row r="935" spans="1:20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</row>
    <row r="936" spans="1:20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</row>
    <row r="937" spans="1:20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</row>
    <row r="938" spans="1:20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</row>
    <row r="939" spans="1:20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</row>
    <row r="940" spans="1:20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</row>
    <row r="941" spans="1:20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</row>
    <row r="942" spans="1:20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</row>
    <row r="943" spans="1:20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</row>
    <row r="944" spans="1:20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spans="1:20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</row>
    <row r="946" spans="1:20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spans="1:20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</row>
    <row r="948" spans="1:20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</row>
    <row r="949" spans="1:20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</row>
    <row r="950" spans="1:20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</row>
    <row r="951" spans="1:20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</row>
    <row r="952" spans="1:20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</row>
    <row r="953" spans="1:20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</row>
    <row r="954" spans="1:20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</row>
    <row r="955" spans="1:20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</row>
    <row r="956" spans="1:20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</row>
    <row r="957" spans="1:20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</row>
    <row r="958" spans="1:20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</row>
    <row r="959" spans="1:20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</row>
    <row r="960" spans="1:20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</row>
    <row r="961" spans="1:20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</row>
    <row r="962" spans="1:20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</row>
    <row r="963" spans="1:20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</row>
    <row r="964" spans="1:20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</row>
    <row r="965" spans="1:20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</row>
    <row r="966" spans="1:20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</row>
    <row r="967" spans="1:20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</row>
    <row r="968" spans="1:20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</row>
    <row r="970" spans="1:20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</row>
    <row r="971" spans="1:20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</row>
    <row r="972" spans="1:20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</row>
    <row r="973" spans="1:20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</row>
    <row r="974" spans="1:20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</row>
    <row r="975" spans="1:20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</row>
    <row r="976" spans="1:20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</row>
    <row r="977" spans="1:20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</row>
    <row r="978" spans="1:20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</row>
    <row r="979" spans="1:20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</row>
    <row r="980" spans="1:20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</row>
    <row r="981" spans="1:20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</row>
    <row r="982" spans="1:20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</row>
    <row r="983" spans="1:20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</row>
    <row r="984" spans="1:20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</row>
    <row r="985" spans="1:20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</row>
    <row r="986" spans="1:20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</row>
    <row r="987" spans="1:20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spans="1:20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</row>
    <row r="989" spans="1:20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spans="1:20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</row>
    <row r="991" spans="1:20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</row>
    <row r="992" spans="1:20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</row>
    <row r="993" spans="1:20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</row>
    <row r="994" spans="1:20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</row>
    <row r="995" spans="1:20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</row>
    <row r="996" spans="1:20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</row>
    <row r="997" spans="1:20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</row>
    <row r="998" spans="1:20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</row>
    <row r="999" spans="1:20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</row>
    <row r="1000" spans="1:20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</row>
    <row r="1001" spans="1:20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</row>
    <row r="1002" spans="1:20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</row>
    <row r="1003" spans="1:20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</row>
    <row r="1004" spans="1:20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</row>
    <row r="1005" spans="1:20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</row>
    <row r="1006" spans="1:20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</row>
    <row r="1007" spans="1:20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</row>
    <row r="1008" spans="1:20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</row>
    <row r="1009" spans="1:20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</row>
    <row r="1010" spans="1:20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</row>
    <row r="1011" spans="1:20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</row>
    <row r="1012" spans="1:20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</row>
    <row r="1013" spans="1:20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</row>
    <row r="1014" spans="1:20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</row>
    <row r="1015" spans="1:20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</row>
    <row r="1016" spans="1:20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</row>
    <row r="1017" spans="1:20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</row>
    <row r="1018" spans="1:20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</row>
    <row r="1019" spans="1:20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</row>
    <row r="1020" spans="1:20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</row>
    <row r="1021" spans="1:20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</row>
    <row r="1022" spans="1:20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</row>
    <row r="1023" spans="1:20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</row>
    <row r="1024" spans="1:20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</row>
    <row r="1025" spans="1:20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</row>
    <row r="1026" spans="1:20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</row>
    <row r="1027" spans="1:20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</row>
    <row r="1028" spans="1:20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</row>
    <row r="1029" spans="1:20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</row>
    <row r="1030" spans="1:20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spans="1:20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</row>
    <row r="1032" spans="1:20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spans="1:20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</row>
    <row r="1034" spans="1:20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</row>
    <row r="1035" spans="1:20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</row>
    <row r="1036" spans="1:20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</row>
    <row r="1037" spans="1:20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</row>
    <row r="1038" spans="1:20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</row>
    <row r="1039" spans="1:20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</row>
    <row r="1040" spans="1:20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</row>
    <row r="1041" spans="1:20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</row>
    <row r="1042" spans="1:20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</row>
    <row r="1043" spans="1:20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</row>
    <row r="1044" spans="1:20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</row>
    <row r="1045" spans="1:20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</row>
    <row r="1046" spans="1:20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</row>
    <row r="1047" spans="1:20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</row>
    <row r="1048" spans="1:20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</row>
    <row r="1049" spans="1:20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</row>
    <row r="1050" spans="1:20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</row>
    <row r="1051" spans="1:20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</row>
    <row r="1052" spans="1:20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</row>
    <row r="1053" spans="1:20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</row>
    <row r="1054" spans="1:20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</row>
    <row r="1055" spans="1:20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</row>
    <row r="1056" spans="1:20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</row>
    <row r="1057" spans="1:20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</row>
    <row r="1058" spans="1:20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</row>
    <row r="1060" spans="1:20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</row>
    <row r="1061" spans="1:20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</row>
    <row r="1062" spans="1:20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</row>
    <row r="1063" spans="1:20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</row>
    <row r="1064" spans="1:20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</row>
    <row r="1065" spans="1:20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</row>
    <row r="1066" spans="1:20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</row>
    <row r="1067" spans="1:20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</row>
    <row r="1068" spans="1:20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</row>
    <row r="1069" spans="1:20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</row>
    <row r="1070" spans="1:20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</row>
    <row r="1071" spans="1:20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</row>
    <row r="1072" spans="1:20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</row>
    <row r="1073" spans="1:20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spans="1:20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</row>
    <row r="1075" spans="1:20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spans="1:20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</row>
    <row r="1077" spans="1:20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</row>
    <row r="1078" spans="1:20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</row>
    <row r="1079" spans="1:20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</row>
    <row r="1080" spans="1:20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</row>
    <row r="1081" spans="1:20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</row>
    <row r="1082" spans="1:20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</row>
    <row r="1083" spans="1:20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</row>
    <row r="1084" spans="1:20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</row>
    <row r="1085" spans="1:20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</row>
    <row r="1086" spans="1:20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</row>
    <row r="1087" spans="1:20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</row>
    <row r="1088" spans="1:20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</row>
    <row r="1089" spans="1:20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</row>
    <row r="1090" spans="1:20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</row>
    <row r="1091" spans="1:20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</row>
    <row r="1092" spans="1:20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</row>
    <row r="1093" spans="1:20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</row>
    <row r="1094" spans="1:20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</row>
    <row r="1095" spans="1:20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</row>
    <row r="1096" spans="1:20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</row>
    <row r="1097" spans="1:20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</row>
    <row r="1098" spans="1:20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</row>
    <row r="1099" spans="1:20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</row>
    <row r="1100" spans="1:20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</row>
    <row r="1101" spans="1:20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</row>
    <row r="1102" spans="1:20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</row>
    <row r="1103" spans="1:20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</row>
    <row r="1104" spans="1:20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</row>
    <row r="1105" spans="1:20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</row>
    <row r="1106" spans="1:20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</row>
    <row r="1107" spans="1:20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</row>
    <row r="1108" spans="1:20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</row>
    <row r="1109" spans="1:20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</row>
    <row r="1110" spans="1:20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</row>
    <row r="1111" spans="1:20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</row>
    <row r="1112" spans="1:20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</row>
    <row r="1113" spans="1:20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</row>
    <row r="1114" spans="1:20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</row>
    <row r="1115" spans="1:20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</row>
    <row r="1116" spans="1:20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spans="1:20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</row>
    <row r="1118" spans="1:20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spans="1:20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</row>
    <row r="1120" spans="1:20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</row>
    <row r="1121" spans="1:20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</row>
    <row r="1122" spans="1:20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</row>
    <row r="1123" spans="1:20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</row>
    <row r="1124" spans="1:20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</row>
    <row r="1125" spans="1:20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</row>
    <row r="1126" spans="1:20" x14ac:dyDescent="0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</row>
    <row r="1127" spans="1:20" x14ac:dyDescent="0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</row>
    <row r="1128" spans="1:20" x14ac:dyDescent="0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</row>
    <row r="1129" spans="1:20" x14ac:dyDescent="0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</row>
    <row r="1130" spans="1:20" x14ac:dyDescent="0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</row>
    <row r="1131" spans="1:20" x14ac:dyDescent="0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</row>
    <row r="1132" spans="1:20" x14ac:dyDescent="0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</row>
    <row r="1133" spans="1:20" x14ac:dyDescent="0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</row>
    <row r="1134" spans="1:20" x14ac:dyDescent="0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</row>
    <row r="1135" spans="1:20" x14ac:dyDescent="0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</row>
    <row r="1136" spans="1:20" x14ac:dyDescent="0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</row>
    <row r="1137" spans="1:20" x14ac:dyDescent="0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</row>
    <row r="1138" spans="1:20" x14ac:dyDescent="0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</row>
    <row r="1139" spans="1:20" x14ac:dyDescent="0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</row>
    <row r="1140" spans="1:20" x14ac:dyDescent="0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</row>
    <row r="1141" spans="1:20" x14ac:dyDescent="0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</row>
    <row r="1142" spans="1:20" x14ac:dyDescent="0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</row>
    <row r="1143" spans="1:20" x14ac:dyDescent="0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</row>
    <row r="1144" spans="1:20" x14ac:dyDescent="0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</row>
    <row r="1145" spans="1:20" x14ac:dyDescent="0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</row>
    <row r="1146" spans="1:20" x14ac:dyDescent="0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</row>
    <row r="1147" spans="1:20" x14ac:dyDescent="0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</row>
    <row r="1148" spans="1:20" x14ac:dyDescent="0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</row>
    <row r="1149" spans="1:20" x14ac:dyDescent="0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</row>
    <row r="1150" spans="1:20" x14ac:dyDescent="0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</row>
    <row r="1151" spans="1:20" x14ac:dyDescent="0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</row>
    <row r="1152" spans="1:20" x14ac:dyDescent="0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</row>
    <row r="1153" spans="1:20" x14ac:dyDescent="0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</row>
    <row r="1154" spans="1:20" x14ac:dyDescent="0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</row>
    <row r="1155" spans="1:20" x14ac:dyDescent="0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</row>
    <row r="1156" spans="1:20" x14ac:dyDescent="0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</row>
    <row r="1157" spans="1:20" x14ac:dyDescent="0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</row>
    <row r="1158" spans="1:20" x14ac:dyDescent="0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</row>
    <row r="1159" spans="1:20" x14ac:dyDescent="0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spans="1:20" x14ac:dyDescent="0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</row>
    <row r="1161" spans="1:20" x14ac:dyDescent="0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spans="1:20" x14ac:dyDescent="0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</row>
    <row r="1163" spans="1:20" x14ac:dyDescent="0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</row>
    <row r="1164" spans="1:20" x14ac:dyDescent="0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</row>
    <row r="1165" spans="1:20" x14ac:dyDescent="0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</row>
    <row r="1166" spans="1:20" x14ac:dyDescent="0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</row>
    <row r="1167" spans="1:20" x14ac:dyDescent="0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</row>
    <row r="1168" spans="1:20" ht="15" customHeight="1" x14ac:dyDescent="0.25">
      <c r="B1168" s="35"/>
      <c r="C1168" s="35"/>
    </row>
    <row r="1169" spans="2:3" ht="15" customHeight="1" x14ac:dyDescent="0.25">
      <c r="B1169" s="35"/>
      <c r="C1169" s="35"/>
    </row>
    <row r="1170" spans="2:3" ht="15" customHeight="1" x14ac:dyDescent="0.25">
      <c r="B1170" s="35"/>
      <c r="C1170" s="35"/>
    </row>
    <row r="1171" spans="2:3" ht="15" customHeight="1" x14ac:dyDescent="0.25">
      <c r="B1171" s="35"/>
      <c r="C1171" s="35"/>
    </row>
    <row r="1172" spans="2:3" ht="15" customHeight="1" x14ac:dyDescent="0.25">
      <c r="B1172" s="35"/>
      <c r="C1172" s="35"/>
    </row>
    <row r="1173" spans="2:3" ht="15" customHeight="1" x14ac:dyDescent="0.25">
      <c r="B1173" s="35"/>
      <c r="C1173" s="35"/>
    </row>
    <row r="1174" spans="2:3" ht="15" customHeight="1" x14ac:dyDescent="0.25">
      <c r="B1174" s="35"/>
      <c r="C1174" s="35"/>
    </row>
    <row r="1175" spans="2:3" ht="15" customHeight="1" x14ac:dyDescent="0.25">
      <c r="B1175" s="35"/>
      <c r="C1175" s="35"/>
    </row>
    <row r="1176" spans="2:3" ht="15" customHeight="1" x14ac:dyDescent="0.25">
      <c r="B1176" s="35"/>
      <c r="C1176" s="35"/>
    </row>
    <row r="1177" spans="2:3" ht="15" customHeight="1" x14ac:dyDescent="0.25">
      <c r="B1177" s="35"/>
      <c r="C1177" s="35"/>
    </row>
    <row r="1178" spans="2:3" ht="15" customHeight="1" x14ac:dyDescent="0.25">
      <c r="B1178" s="35"/>
      <c r="C1178" s="35"/>
    </row>
    <row r="1179" spans="2:3" ht="15" customHeight="1" x14ac:dyDescent="0.25">
      <c r="B1179" s="35"/>
      <c r="C1179" s="35"/>
    </row>
    <row r="1180" spans="2:3" ht="15" customHeight="1" x14ac:dyDescent="0.25">
      <c r="B1180" s="35"/>
      <c r="C1180" s="35"/>
    </row>
    <row r="1181" spans="2:3" ht="15" customHeight="1" x14ac:dyDescent="0.25">
      <c r="B1181" s="35"/>
      <c r="C1181" s="35"/>
    </row>
    <row r="1182" spans="2:3" ht="15" customHeight="1" x14ac:dyDescent="0.25">
      <c r="B1182" s="35"/>
      <c r="C1182" s="35"/>
    </row>
    <row r="1183" spans="2:3" ht="15" customHeight="1" x14ac:dyDescent="0.25">
      <c r="B1183" s="35"/>
      <c r="C1183" s="35"/>
    </row>
    <row r="1184" spans="2:3" ht="15" customHeight="1" x14ac:dyDescent="0.25">
      <c r="B1184" s="35"/>
      <c r="C1184" s="35"/>
    </row>
    <row r="1185" spans="2:3" ht="15" customHeight="1" x14ac:dyDescent="0.25">
      <c r="B1185" s="35"/>
      <c r="C1185" s="35"/>
    </row>
    <row r="1186" spans="2:3" ht="15" customHeight="1" x14ac:dyDescent="0.25">
      <c r="B1186" s="35"/>
      <c r="C1186" s="35"/>
    </row>
    <row r="1187" spans="2:3" ht="15" customHeight="1" x14ac:dyDescent="0.25">
      <c r="B1187" s="35"/>
      <c r="C1187" s="35"/>
    </row>
    <row r="1188" spans="2:3" ht="15" customHeight="1" x14ac:dyDescent="0.25">
      <c r="B1188" s="35"/>
      <c r="C1188" s="35"/>
    </row>
    <row r="1189" spans="2:3" ht="15" customHeight="1" x14ac:dyDescent="0.25">
      <c r="B1189" s="35"/>
      <c r="C1189" s="35"/>
    </row>
    <row r="1190" spans="2:3" ht="15" customHeight="1" x14ac:dyDescent="0.25">
      <c r="B1190" s="35"/>
      <c r="C1190" s="35"/>
    </row>
    <row r="1191" spans="2:3" ht="15" customHeight="1" x14ac:dyDescent="0.25">
      <c r="B1191" s="35"/>
      <c r="C1191" s="35"/>
    </row>
    <row r="1192" spans="2:3" ht="15" customHeight="1" x14ac:dyDescent="0.25">
      <c r="B1192" s="35"/>
      <c r="C1192" s="35"/>
    </row>
    <row r="1193" spans="2:3" ht="15" customHeight="1" x14ac:dyDescent="0.25">
      <c r="B1193" s="35"/>
      <c r="C1193" s="35"/>
    </row>
    <row r="1194" spans="2:3" ht="15" customHeight="1" x14ac:dyDescent="0.25">
      <c r="B1194" s="35"/>
      <c r="C1194" s="35"/>
    </row>
    <row r="1195" spans="2:3" ht="15" customHeight="1" x14ac:dyDescent="0.25">
      <c r="B1195" s="35"/>
      <c r="C1195" s="35"/>
    </row>
    <row r="1196" spans="2:3" ht="15" customHeight="1" x14ac:dyDescent="0.25">
      <c r="B1196" s="35"/>
      <c r="C1196" s="35"/>
    </row>
    <row r="1197" spans="2:3" ht="15" customHeight="1" x14ac:dyDescent="0.25">
      <c r="B1197" s="35"/>
      <c r="C1197" s="35"/>
    </row>
    <row r="1198" spans="2:3" ht="15" customHeight="1" x14ac:dyDescent="0.25">
      <c r="B1198" s="35"/>
      <c r="C1198" s="35"/>
    </row>
    <row r="1199" spans="2:3" ht="15" customHeight="1" x14ac:dyDescent="0.25">
      <c r="B1199" s="35"/>
      <c r="C1199" s="35"/>
    </row>
    <row r="1200" spans="2:3" ht="15" customHeight="1" x14ac:dyDescent="0.25">
      <c r="B1200" s="35"/>
      <c r="C1200" s="35"/>
    </row>
    <row r="1201" spans="2:3" ht="15" customHeight="1" x14ac:dyDescent="0.25">
      <c r="B1201" s="35"/>
      <c r="C1201" s="35"/>
    </row>
    <row r="1202" spans="2:3" ht="15" customHeight="1" x14ac:dyDescent="0.25">
      <c r="B1202" s="35"/>
      <c r="C1202" s="35"/>
    </row>
    <row r="1203" spans="2:3" ht="15" customHeight="1" x14ac:dyDescent="0.25">
      <c r="B1203" s="35"/>
      <c r="C1203" s="35"/>
    </row>
    <row r="1204" spans="2:3" ht="15" customHeight="1" x14ac:dyDescent="0.25">
      <c r="B1204" s="35"/>
      <c r="C1204" s="35"/>
    </row>
    <row r="1205" spans="2:3" ht="15" customHeight="1" x14ac:dyDescent="0.25">
      <c r="B1205" s="35"/>
      <c r="C1205" s="35"/>
    </row>
    <row r="1206" spans="2:3" ht="15" customHeight="1" x14ac:dyDescent="0.25">
      <c r="B1206" s="35"/>
      <c r="C1206" s="35"/>
    </row>
    <row r="1207" spans="2:3" ht="15" customHeight="1" x14ac:dyDescent="0.25">
      <c r="B1207" s="35"/>
      <c r="C1207" s="35"/>
    </row>
    <row r="1208" spans="2:3" ht="15" customHeight="1" x14ac:dyDescent="0.25">
      <c r="B1208" s="35"/>
      <c r="C1208" s="35"/>
    </row>
    <row r="1209" spans="2:3" ht="15" customHeight="1" x14ac:dyDescent="0.25">
      <c r="B1209" s="35"/>
      <c r="C1209" s="35"/>
    </row>
    <row r="1210" spans="2:3" ht="15" customHeight="1" x14ac:dyDescent="0.25">
      <c r="B1210" s="35"/>
      <c r="C1210" s="35"/>
    </row>
    <row r="1211" spans="2:3" ht="15" customHeight="1" x14ac:dyDescent="0.25">
      <c r="B1211" s="35"/>
      <c r="C1211" s="35"/>
    </row>
    <row r="1212" spans="2:3" ht="15" customHeight="1" x14ac:dyDescent="0.25">
      <c r="B1212" s="35"/>
      <c r="C1212" s="35"/>
    </row>
    <row r="1213" spans="2:3" ht="15" customHeight="1" x14ac:dyDescent="0.25">
      <c r="B1213" s="35"/>
      <c r="C1213" s="35"/>
    </row>
    <row r="1214" spans="2:3" ht="15" customHeight="1" x14ac:dyDescent="0.25">
      <c r="B1214" s="35"/>
      <c r="C1214" s="35"/>
    </row>
    <row r="1215" spans="2:3" ht="15" customHeight="1" x14ac:dyDescent="0.25">
      <c r="B1215" s="35"/>
      <c r="C1215" s="35"/>
    </row>
    <row r="1216" spans="2:3" ht="15" customHeight="1" x14ac:dyDescent="0.25">
      <c r="B1216" s="35"/>
      <c r="C1216" s="35"/>
    </row>
    <row r="1217" spans="2:3" ht="15" customHeight="1" x14ac:dyDescent="0.25">
      <c r="B1217" s="35"/>
      <c r="C1217" s="35"/>
    </row>
    <row r="1218" spans="2:3" ht="15" customHeight="1" x14ac:dyDescent="0.25">
      <c r="B1218" s="35"/>
      <c r="C1218" s="35"/>
    </row>
    <row r="1219" spans="2:3" ht="15" customHeight="1" x14ac:dyDescent="0.25">
      <c r="B1219" s="35"/>
      <c r="C1219" s="35"/>
    </row>
    <row r="1220" spans="2:3" ht="15" customHeight="1" x14ac:dyDescent="0.25">
      <c r="B1220" s="35"/>
      <c r="C1220" s="35"/>
    </row>
    <row r="1221" spans="2:3" ht="15" customHeight="1" x14ac:dyDescent="0.25">
      <c r="B1221" s="35"/>
      <c r="C1221" s="35"/>
    </row>
    <row r="1222" spans="2:3" ht="15" customHeight="1" x14ac:dyDescent="0.25">
      <c r="B1222" s="35"/>
      <c r="C1222" s="35"/>
    </row>
    <row r="1223" spans="2:3" ht="15" customHeight="1" x14ac:dyDescent="0.25">
      <c r="B1223" s="35"/>
      <c r="C1223" s="35"/>
    </row>
    <row r="1224" spans="2:3" ht="15" customHeight="1" x14ac:dyDescent="0.25">
      <c r="B1224" s="35"/>
      <c r="C1224" s="35"/>
    </row>
    <row r="1225" spans="2:3" ht="15" customHeight="1" x14ac:dyDescent="0.25">
      <c r="B1225" s="35"/>
      <c r="C1225" s="35"/>
    </row>
    <row r="1226" spans="2:3" ht="15" customHeight="1" x14ac:dyDescent="0.25">
      <c r="B1226" s="35"/>
      <c r="C1226" s="35"/>
    </row>
    <row r="1227" spans="2:3" ht="15" customHeight="1" x14ac:dyDescent="0.25">
      <c r="B1227" s="35"/>
      <c r="C1227" s="35"/>
    </row>
    <row r="1228" spans="2:3" ht="15" customHeight="1" x14ac:dyDescent="0.25">
      <c r="B1228" s="35"/>
      <c r="C1228" s="35"/>
    </row>
    <row r="1229" spans="2:3" ht="15" customHeight="1" x14ac:dyDescent="0.25">
      <c r="B1229" s="35"/>
      <c r="C1229" s="35"/>
    </row>
    <row r="1230" spans="2:3" ht="15" customHeight="1" x14ac:dyDescent="0.25">
      <c r="B1230" s="35"/>
      <c r="C1230" s="35"/>
    </row>
    <row r="1231" spans="2:3" ht="15" customHeight="1" x14ac:dyDescent="0.25">
      <c r="B1231" s="35"/>
      <c r="C1231" s="35"/>
    </row>
    <row r="1232" spans="2:3" ht="15" customHeight="1" x14ac:dyDescent="0.25">
      <c r="B1232" s="35"/>
      <c r="C1232" s="35"/>
    </row>
    <row r="1233" spans="2:3" ht="15" customHeight="1" x14ac:dyDescent="0.25">
      <c r="B1233" s="35"/>
      <c r="C1233" s="35"/>
    </row>
    <row r="1234" spans="2:3" ht="15" customHeight="1" x14ac:dyDescent="0.25">
      <c r="B1234" s="35"/>
      <c r="C1234" s="35"/>
    </row>
    <row r="1235" spans="2:3" ht="15" customHeight="1" x14ac:dyDescent="0.25">
      <c r="B1235" s="35"/>
      <c r="C1235" s="35"/>
    </row>
    <row r="1236" spans="2:3" ht="15" customHeight="1" x14ac:dyDescent="0.25">
      <c r="B1236" s="35"/>
      <c r="C1236" s="35"/>
    </row>
    <row r="1237" spans="2:3" ht="15" customHeight="1" x14ac:dyDescent="0.25">
      <c r="B1237" s="35"/>
      <c r="C1237" s="35"/>
    </row>
    <row r="1238" spans="2:3" ht="15" customHeight="1" x14ac:dyDescent="0.25">
      <c r="B1238" s="35"/>
      <c r="C1238" s="35"/>
    </row>
    <row r="1239" spans="2:3" ht="15" customHeight="1" x14ac:dyDescent="0.25">
      <c r="B1239" s="35"/>
      <c r="C1239" s="35"/>
    </row>
    <row r="1240" spans="2:3" ht="15" customHeight="1" x14ac:dyDescent="0.25">
      <c r="B1240" s="35"/>
      <c r="C1240" s="35"/>
    </row>
    <row r="1241" spans="2:3" ht="15" customHeight="1" x14ac:dyDescent="0.25">
      <c r="B1241" s="35"/>
      <c r="C1241" s="35"/>
    </row>
    <row r="1242" spans="2:3" ht="15" customHeight="1" x14ac:dyDescent="0.25">
      <c r="B1242" s="35"/>
      <c r="C1242" s="35"/>
    </row>
    <row r="1243" spans="2:3" ht="15" customHeight="1" x14ac:dyDescent="0.25">
      <c r="B1243" s="35"/>
      <c r="C1243" s="35"/>
    </row>
    <row r="1244" spans="2:3" ht="15" customHeight="1" x14ac:dyDescent="0.25">
      <c r="B1244" s="35"/>
      <c r="C1244" s="35"/>
    </row>
    <row r="1245" spans="2:3" ht="15" customHeight="1" x14ac:dyDescent="0.25">
      <c r="B1245" s="35"/>
      <c r="C1245" s="35"/>
    </row>
    <row r="1246" spans="2:3" ht="15" customHeight="1" x14ac:dyDescent="0.25">
      <c r="B1246" s="35"/>
      <c r="C1246" s="35"/>
    </row>
    <row r="1247" spans="2:3" ht="15" customHeight="1" x14ac:dyDescent="0.25">
      <c r="B1247" s="35"/>
      <c r="C1247" s="35"/>
    </row>
    <row r="1248" spans="2:3" ht="15" customHeight="1" x14ac:dyDescent="0.25">
      <c r="B1248" s="35"/>
      <c r="C1248" s="35"/>
    </row>
    <row r="1249" spans="2:3" ht="15" customHeight="1" x14ac:dyDescent="0.25">
      <c r="B1249" s="35"/>
      <c r="C1249" s="35"/>
    </row>
    <row r="1250" spans="2:3" ht="15" customHeight="1" x14ac:dyDescent="0.25">
      <c r="B1250" s="35"/>
      <c r="C1250" s="35"/>
    </row>
    <row r="1251" spans="2:3" ht="15" customHeight="1" x14ac:dyDescent="0.25">
      <c r="B1251" s="35"/>
      <c r="C1251" s="35"/>
    </row>
    <row r="1252" spans="2:3" ht="15" customHeight="1" x14ac:dyDescent="0.25">
      <c r="B1252" s="35"/>
      <c r="C1252" s="35"/>
    </row>
    <row r="1253" spans="2:3" ht="15" customHeight="1" x14ac:dyDescent="0.25">
      <c r="B1253" s="35"/>
      <c r="C1253" s="35"/>
    </row>
    <row r="1254" spans="2:3" ht="15" customHeight="1" x14ac:dyDescent="0.25">
      <c r="B1254" s="35"/>
      <c r="C1254" s="35"/>
    </row>
    <row r="1255" spans="2:3" ht="15" customHeight="1" x14ac:dyDescent="0.25">
      <c r="B1255" s="35"/>
      <c r="C1255" s="35"/>
    </row>
    <row r="1256" spans="2:3" ht="15" customHeight="1" x14ac:dyDescent="0.25">
      <c r="B1256" s="35"/>
      <c r="C1256" s="35"/>
    </row>
    <row r="1257" spans="2:3" ht="15" customHeight="1" x14ac:dyDescent="0.25">
      <c r="B1257" s="35"/>
      <c r="C1257" s="35"/>
    </row>
    <row r="1258" spans="2:3" ht="15" customHeight="1" x14ac:dyDescent="0.25">
      <c r="B1258" s="35"/>
      <c r="C1258" s="35"/>
    </row>
    <row r="1259" spans="2:3" ht="15" customHeight="1" x14ac:dyDescent="0.25">
      <c r="B1259" s="35"/>
      <c r="C1259" s="35"/>
    </row>
    <row r="1260" spans="2:3" ht="15" customHeight="1" x14ac:dyDescent="0.25">
      <c r="B1260" s="35"/>
      <c r="C1260" s="35"/>
    </row>
    <row r="1261" spans="2:3" ht="15" customHeight="1" x14ac:dyDescent="0.25">
      <c r="B1261" s="35"/>
      <c r="C1261" s="35"/>
    </row>
    <row r="1262" spans="2:3" ht="15" customHeight="1" x14ac:dyDescent="0.25">
      <c r="B1262" s="35"/>
      <c r="C1262" s="35"/>
    </row>
    <row r="1263" spans="2:3" ht="15" customHeight="1" x14ac:dyDescent="0.25">
      <c r="B1263" s="35"/>
      <c r="C1263" s="35"/>
    </row>
    <row r="1264" spans="2:3" ht="15" customHeight="1" x14ac:dyDescent="0.25">
      <c r="B1264" s="35"/>
      <c r="C1264" s="35"/>
    </row>
    <row r="1265" spans="2:3" ht="15" customHeight="1" x14ac:dyDescent="0.25">
      <c r="B1265" s="35"/>
      <c r="C1265" s="35"/>
    </row>
    <row r="1266" spans="2:3" ht="15" customHeight="1" x14ac:dyDescent="0.25">
      <c r="B1266" s="35"/>
      <c r="C1266" s="35"/>
    </row>
    <row r="1267" spans="2:3" ht="15" customHeight="1" x14ac:dyDescent="0.25">
      <c r="B1267" s="35"/>
      <c r="C1267" s="35"/>
    </row>
    <row r="1268" spans="2:3" ht="15" customHeight="1" x14ac:dyDescent="0.25">
      <c r="B1268" s="35"/>
      <c r="C1268" s="35"/>
    </row>
    <row r="1269" spans="2:3" ht="15" customHeight="1" x14ac:dyDescent="0.25">
      <c r="B1269" s="35"/>
      <c r="C1269" s="35"/>
    </row>
    <row r="1270" spans="2:3" ht="15" customHeight="1" x14ac:dyDescent="0.25">
      <c r="B1270" s="35"/>
      <c r="C1270" s="35"/>
    </row>
    <row r="1271" spans="2:3" ht="15" customHeight="1" x14ac:dyDescent="0.25">
      <c r="B1271" s="35"/>
      <c r="C1271" s="35"/>
    </row>
    <row r="1272" spans="2:3" ht="15" customHeight="1" x14ac:dyDescent="0.25">
      <c r="B1272" s="35"/>
      <c r="C1272" s="35"/>
    </row>
    <row r="1273" spans="2:3" ht="15" customHeight="1" x14ac:dyDescent="0.25">
      <c r="B1273" s="35"/>
      <c r="C1273" s="35"/>
    </row>
    <row r="1274" spans="2:3" ht="15" customHeight="1" x14ac:dyDescent="0.25">
      <c r="B1274" s="35"/>
      <c r="C1274" s="35"/>
    </row>
    <row r="1275" spans="2:3" ht="15" customHeight="1" x14ac:dyDescent="0.25">
      <c r="B1275" s="35"/>
      <c r="C1275" s="35"/>
    </row>
    <row r="1276" spans="2:3" ht="15" customHeight="1" x14ac:dyDescent="0.25">
      <c r="B1276" s="35"/>
      <c r="C1276" s="35"/>
    </row>
    <row r="1277" spans="2:3" ht="15" customHeight="1" x14ac:dyDescent="0.25">
      <c r="B1277" s="35"/>
      <c r="C1277" s="35"/>
    </row>
    <row r="1278" spans="2:3" ht="15" customHeight="1" x14ac:dyDescent="0.25">
      <c r="B1278" s="35"/>
      <c r="C1278" s="35"/>
    </row>
    <row r="1279" spans="2:3" ht="15" customHeight="1" x14ac:dyDescent="0.25">
      <c r="B1279" s="35"/>
      <c r="C1279" s="35"/>
    </row>
    <row r="1280" spans="2:3" ht="15" customHeight="1" x14ac:dyDescent="0.25">
      <c r="B1280" s="35"/>
      <c r="C1280" s="35"/>
    </row>
    <row r="1281" spans="2:3" ht="15" customHeight="1" x14ac:dyDescent="0.25">
      <c r="B1281" s="35"/>
      <c r="C1281" s="35"/>
    </row>
    <row r="1282" spans="2:3" ht="15" customHeight="1" x14ac:dyDescent="0.25">
      <c r="B1282" s="35"/>
      <c r="C1282" s="35"/>
    </row>
    <row r="1283" spans="2:3" ht="15" customHeight="1" x14ac:dyDescent="0.25">
      <c r="B1283" s="35"/>
      <c r="C1283" s="35"/>
    </row>
    <row r="1284" spans="2:3" ht="15" customHeight="1" x14ac:dyDescent="0.25">
      <c r="B1284" s="35"/>
      <c r="C1284" s="35"/>
    </row>
    <row r="1285" spans="2:3" ht="15" customHeight="1" x14ac:dyDescent="0.25">
      <c r="B1285" s="35"/>
      <c r="C1285" s="35"/>
    </row>
    <row r="1286" spans="2:3" ht="15" customHeight="1" x14ac:dyDescent="0.25">
      <c r="B1286" s="35"/>
      <c r="C1286" s="35"/>
    </row>
    <row r="1287" spans="2:3" ht="15" customHeight="1" x14ac:dyDescent="0.25">
      <c r="B1287" s="35"/>
      <c r="C1287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2020-06-09T15:16:28Z</dcterms:modified>
</cp:coreProperties>
</file>